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11175" tabRatio="932" activeTab="5"/>
  </bookViews>
  <sheets>
    <sheet name="instructions" sheetId="1" r:id="rId1"/>
    <sheet name="MMR-Page1" sheetId="2" r:id="rId2"/>
    <sheet name="MMR-Page2" sheetId="3" r:id="rId3"/>
    <sheet name="MMR-Page3" sheetId="4" r:id="rId4"/>
    <sheet name="MMR-Page4" sheetId="5" r:id="rId5"/>
    <sheet name="NetDMR Data Upload" sheetId="6" r:id="rId6"/>
    <sheet name="NetDMR No Discharge Upload" sheetId="7" r:id="rId7"/>
  </sheets>
  <definedNames>
    <definedName name="_xlfn.NORM.S.INV" hidden="1">#NAME?</definedName>
    <definedName name="Frequency">'instructions'!$M$71:$M$73</definedName>
    <definedName name="LoadConc">'instructions'!$K$65:$K$68</definedName>
    <definedName name="LoadUnit">'instructions'!$Q$64:$Q$68</definedName>
    <definedName name="ParameterList">'instructions'!$O$64:$O$67</definedName>
    <definedName name="_xlnm.Print_Area" localSheetId="0">'instructions'!$A$1:$A$53</definedName>
    <definedName name="_xlnm.Print_Area" localSheetId="1">'MMR-Page1'!$A$1:$V$75</definedName>
    <definedName name="_xlnm.Print_Area" localSheetId="2">'MMR-Page2'!$A$1:$V$77</definedName>
    <definedName name="_xlnm.Print_Area" localSheetId="3">'MMR-Page3'!$A$1:$V$75</definedName>
    <definedName name="_xlnm.Print_Area" localSheetId="4">'MMR-Page4'!$A$1:$V$75</definedName>
    <definedName name="_xlnm.Print_Area" localSheetId="5">'NetDMR Data Upload'!$A$1:$AI$17</definedName>
    <definedName name="_xlnm.Print_Area" localSheetId="6">'NetDMR No Discharge Upload'!$A$1:$F$2</definedName>
    <definedName name="Reporting">'instructions'!$M$64:$M$66</definedName>
    <definedName name="SampleType">'instructions'!$Q$71:$Q$74</definedName>
    <definedName name="time" localSheetId="4">'MMR-Page4'!$S$78:$S$80</definedName>
    <definedName name="time">'MMR-Page3'!$S$78:$S$80</definedName>
  </definedNames>
  <calcPr fullCalcOnLoad="1"/>
</workbook>
</file>

<file path=xl/sharedStrings.xml><?xml version="1.0" encoding="utf-8"?>
<sst xmlns="http://schemas.openxmlformats.org/spreadsheetml/2006/main" count="461" uniqueCount="177">
  <si>
    <t xml:space="preserve">     </t>
  </si>
  <si>
    <t>FACILITY NAME AND ADDRESS:</t>
  </si>
  <si>
    <t>E-mail address:</t>
  </si>
  <si>
    <t>I</t>
  </si>
  <si>
    <t>N</t>
  </si>
  <si>
    <t>PERMIT NUMBER</t>
  </si>
  <si>
    <t xml:space="preserve">No Discharge </t>
  </si>
  <si>
    <t>This is a revised submittal</t>
  </si>
  <si>
    <t>FLOW</t>
  </si>
  <si>
    <t>pH</t>
  </si>
  <si>
    <t>EFFLUENT</t>
  </si>
  <si>
    <t>LIMITATIONS</t>
  </si>
  <si>
    <t>MGD</t>
  </si>
  <si>
    <t>HI</t>
  </si>
  <si>
    <t>LOW</t>
  </si>
  <si>
    <t>MG/L</t>
  </si>
  <si>
    <t>MONTHLY AVERAGE</t>
  </si>
  <si>
    <t>HIGHEST VALUE</t>
  </si>
  <si>
    <t>LOWEST VALUE</t>
  </si>
  <si>
    <t>NO. OF TIMES WEEKLY, DAILY, MONTHLY</t>
  </si>
  <si>
    <t>EFFL. LIMITATIONS EXCEEDED</t>
  </si>
  <si>
    <t>TOTAL FLOW</t>
  </si>
  <si>
    <t>Prepared by or under the direction of (Certified Operator):</t>
  </si>
  <si>
    <t>I certify under penalty of law that this document and all attachments</t>
  </si>
  <si>
    <t>were prepared under my direction or supervision in accordance with</t>
  </si>
  <si>
    <t>a system designed to assure that qualified personnel properly</t>
  </si>
  <si>
    <t>Preparer's telephone number</t>
  </si>
  <si>
    <t>Operator's certification number</t>
  </si>
  <si>
    <t xml:space="preserve">and evaluate the information submitted. Based on my inquiry of the </t>
  </si>
  <si>
    <t>persons who manage the system, or those persons directly</t>
  </si>
  <si>
    <t>responsible for gathering the information, the information submitted</t>
  </si>
  <si>
    <t>is to the best of my knowledge and belief, true, accurate, and</t>
  </si>
  <si>
    <t>Signature of principal executive officer or authorized agent</t>
  </si>
  <si>
    <t xml:space="preserve">complete. I am aware that there are significant penalties for </t>
  </si>
  <si>
    <t xml:space="preserve"> (or attested by NetDMR subscriber agreement)</t>
  </si>
  <si>
    <t>submitting false information, including the possibility of fine and</t>
  </si>
  <si>
    <t xml:space="preserve">imprisonment for knowing violations. </t>
  </si>
  <si>
    <t xml:space="preserve">Page 1 of </t>
  </si>
  <si>
    <t xml:space="preserve">Page 2 of </t>
  </si>
  <si>
    <t>CBOD5</t>
  </si>
  <si>
    <t>TSS</t>
  </si>
  <si>
    <t>MONTHLY MONITORING REPORT (MMR) FOR WET WEATHER TREATMENT FACILTIES</t>
  </si>
  <si>
    <t>C / 100 ML</t>
  </si>
  <si>
    <t>1</t>
  </si>
  <si>
    <t>Precipitation Data</t>
  </si>
  <si>
    <t>15 min</t>
  </si>
  <si>
    <t>Flow</t>
  </si>
  <si>
    <t>Daily Flow</t>
  </si>
  <si>
    <t>Peak Hourly</t>
  </si>
  <si>
    <t>WWTP Influent Data</t>
  </si>
  <si>
    <t>Time</t>
  </si>
  <si>
    <t>Precip.</t>
  </si>
  <si>
    <t>Began</t>
  </si>
  <si>
    <t>Duration</t>
  </si>
  <si>
    <t>(Hours)</t>
  </si>
  <si>
    <t>Total</t>
  </si>
  <si>
    <t>Daily</t>
  </si>
  <si>
    <t>(MGD)</t>
  </si>
  <si>
    <t>(AM / PM)</t>
  </si>
  <si>
    <t>(Inches)</t>
  </si>
  <si>
    <t>Peak</t>
  </si>
  <si>
    <t>Intensity</t>
  </si>
  <si>
    <t>Totals</t>
  </si>
  <si>
    <t>WASTEWATER TREATMENT PLANT INFLUENT FLOW AND PRECIPITATION DATA</t>
  </si>
  <si>
    <t>Grab</t>
  </si>
  <si>
    <t>Report</t>
  </si>
  <si>
    <t>Composite</t>
  </si>
  <si>
    <t xml:space="preserve">Page 3 of </t>
  </si>
  <si>
    <t>Daily Minimum</t>
  </si>
  <si>
    <t>Monthly Average</t>
  </si>
  <si>
    <t>Daily Maximum</t>
  </si>
  <si>
    <t>-----</t>
  </si>
  <si>
    <t>Design Average Flow</t>
  </si>
  <si>
    <t>Design Peak Hourly Flow</t>
  </si>
  <si>
    <t>CP</t>
  </si>
  <si>
    <t>Conc</t>
  </si>
  <si>
    <t>Measurement Interval (1hr, 30 m, 15 m)</t>
  </si>
  <si>
    <t>Average</t>
  </si>
  <si>
    <t>1 hr</t>
  </si>
  <si>
    <t>30 min</t>
  </si>
  <si>
    <t xml:space="preserve">Page 4 of </t>
  </si>
  <si>
    <t>24 Hr total</t>
  </si>
  <si>
    <t>LOADING OR CONCENTRATION</t>
  </si>
  <si>
    <t>Loading</t>
  </si>
  <si>
    <t>EFFLUENT PARAMETER</t>
  </si>
  <si>
    <t>MONITORING SAMPLE TYPE</t>
  </si>
  <si>
    <t>MONITORING FREQUENCY</t>
  </si>
  <si>
    <t>COMMENTS ON WHY WET WEATHER TREATMENT FACILITY DISCHARGE OCCURRED</t>
  </si>
  <si>
    <t xml:space="preserve">EFFLUENT PARAMETER  </t>
  </si>
  <si>
    <t>UNITS</t>
  </si>
  <si>
    <t>MONTHLY AVERAGE (Geomean Ecoli)</t>
  </si>
  <si>
    <t>&lt;</t>
  </si>
  <si>
    <t>Parameter Code</t>
  </si>
  <si>
    <t>permitted_feature_id</t>
  </si>
  <si>
    <t>limit_set_txt</t>
  </si>
  <si>
    <t>mped_txt</t>
  </si>
  <si>
    <t>00400</t>
  </si>
  <si>
    <t>00530</t>
  </si>
  <si>
    <t>50050</t>
  </si>
  <si>
    <t>80082</t>
  </si>
  <si>
    <t>Permit_id</t>
  </si>
  <si>
    <t>form_nodi_cd</t>
  </si>
  <si>
    <t>Oxygen, dissolved [DO]</t>
  </si>
  <si>
    <t>Nitrogen, ammonia total [as N]</t>
  </si>
  <si>
    <t>Phosphorus, total [as P]</t>
  </si>
  <si>
    <t>Lb</t>
  </si>
  <si>
    <t>Reporting</t>
  </si>
  <si>
    <t>ParameterList</t>
  </si>
  <si>
    <t>LoadUnit</t>
  </si>
  <si>
    <t>SampleType</t>
  </si>
  <si>
    <t>Frequency</t>
  </si>
  <si>
    <t>Season</t>
  </si>
  <si>
    <t>Load/Conc</t>
  </si>
  <si>
    <t>Monitoring Loc Code</t>
  </si>
  <si>
    <t>comment_txt</t>
  </si>
  <si>
    <t>Chlorine disinfection - Year-round:</t>
  </si>
  <si>
    <t xml:space="preserve">      E. coli monitoring - Year-round:</t>
  </si>
  <si>
    <t>UV Disinfection:</t>
  </si>
  <si>
    <t xml:space="preserve">                  c ) Set the "Save As Type:" field to "CSV (Comma delimited)".   </t>
  </si>
  <si>
    <t xml:space="preserve">                  a) Set the location to a place that you know</t>
  </si>
  <si>
    <t xml:space="preserve">                  d) Click the [Save] button near the bottom right corner</t>
  </si>
  <si>
    <t xml:space="preserve">    If there is no discharge for the month, place an "X" in the box next to the "No Discharge" field on Page 1.</t>
  </si>
  <si>
    <t xml:space="preserve">    The information on page 1 should be entered first. Some of the information entered on Page 1 will carry over to Pages 2 
     through 4 of the form so this information does not need to be reentered.  Examples include facility name, permit number, 
     date, etc.</t>
  </si>
  <si>
    <t xml:space="preserve">    When the month and year are entered into Row 13 of Page 1 of the form, the day of the month automatically populates in 
    Columns E and F.  The day of the month will automatically calculate on the other pages of the form.</t>
  </si>
  <si>
    <t xml:space="preserve">    If only one pH sample is taken per day, enter the value in the Low column.  If more than one sample is taken on a given day,
    the values shall not be averaged for reporting daily maximums or daily minimums.  The permittee must report the minimum
    and maximum pH value of all samples on the form.</t>
  </si>
  <si>
    <t xml:space="preserve">    Enter results as reported by laboratory analysis. The form may display a limited number of decimal places depending on
    the cell format.</t>
  </si>
  <si>
    <t>INSTRUCTIONS FOR UPLOADING DATA TO NETDMR</t>
  </si>
  <si>
    <r>
      <t xml:space="preserve">    The "NetDMR </t>
    </r>
    <r>
      <rPr>
        <b/>
        <sz val="12"/>
        <rFont val="Arial"/>
        <family val="2"/>
      </rPr>
      <t xml:space="preserve">Data </t>
    </r>
    <r>
      <rPr>
        <sz val="12"/>
        <rFont val="Arial"/>
        <family val="2"/>
      </rPr>
      <t>Upload" tab should be used any monitoring period where there has been at least one discharge.</t>
    </r>
  </si>
  <si>
    <t xml:space="preserve">    The "NetDMR Data Upload" and "NetDMR No Discharge Upload" tabs are spreadsheets that can assist the permittee if 
    desired to import the data to NetDMR. This spreadsheet will transfer all data entered for parameters on page 1 and and 
    page 2 over to the appropriate upload tab.  Do not make any edits directly on these two upload spreadsheets.  All necessary
    data will automatically be loaded from other pages.   Note: The data must be reviewed and possibly completed within the 
    NetDMR system for final submission.</t>
  </si>
  <si>
    <r>
      <t xml:space="preserve">    The "NetDMR </t>
    </r>
    <r>
      <rPr>
        <b/>
        <sz val="12"/>
        <rFont val="Arial"/>
        <family val="2"/>
      </rPr>
      <t>No Discharge</t>
    </r>
    <r>
      <rPr>
        <sz val="12"/>
        <rFont val="Arial"/>
        <family val="2"/>
      </rPr>
      <t xml:space="preserve"> Upload" tab should only be used if there has been no reportable discharge through this 
    outfall during the entire monitoring period.</t>
    </r>
  </si>
  <si>
    <t xml:space="preserve">    To upload data from this spreadsheet to NetDMR, click on the appropriate tab either  "NetDMR Data Upload" or "NetDMR 
    No Discharge Upload".   </t>
  </si>
  <si>
    <t xml:space="preserve">    1. Save the Excel file with all of the entered data and all of the worksheets.   </t>
  </si>
  <si>
    <t xml:space="preserve">    2. Go to the top left hand corner of Excel and under the "File" menu, select "Save As". </t>
  </si>
  <si>
    <t xml:space="preserve">    3. On the "Save As" window;</t>
  </si>
  <si>
    <r>
      <t xml:space="preserve">    4. Excel will open a pop-up message that "The selected file type does not support workbooks with multiple worksheets." 
         Click the</t>
    </r>
    <r>
      <rPr>
        <b/>
        <sz val="12"/>
        <rFont val="Arial"/>
        <family val="2"/>
      </rPr>
      <t xml:space="preserve"> [Ok] </t>
    </r>
    <r>
      <rPr>
        <sz val="12"/>
        <rFont val="Arial"/>
        <family val="2"/>
      </rPr>
      <t>option</t>
    </r>
  </si>
  <si>
    <r>
      <t xml:space="preserve">    5. Excel will open a second pop-up message box that asks:  "….Do you want to keep the workbook in this format?"    
         Click the </t>
    </r>
    <r>
      <rPr>
        <b/>
        <sz val="12"/>
        <rFont val="Arial"/>
        <family val="2"/>
      </rPr>
      <t>[Yes]</t>
    </r>
    <r>
      <rPr>
        <sz val="12"/>
        <rFont val="Arial"/>
        <family val="2"/>
      </rPr>
      <t xml:space="preserve"> option</t>
    </r>
  </si>
  <si>
    <t xml:space="preserve">    6. Close the Excel file</t>
  </si>
  <si>
    <r>
      <t xml:space="preserve">                  a)  Excel will present a pop-up message: "Do you want to Save the change that you made to…."  
                       Click the </t>
    </r>
    <r>
      <rPr>
        <b/>
        <sz val="12"/>
        <rFont val="Arial"/>
        <family val="2"/>
      </rPr>
      <t>[Save]</t>
    </r>
    <r>
      <rPr>
        <sz val="12"/>
        <rFont val="Arial"/>
        <family val="2"/>
      </rPr>
      <t xml:space="preserve"> option
</t>
    </r>
  </si>
  <si>
    <r>
      <t xml:space="preserve">                  b)  Excel will open a second pop-up message: "…. Do you want to keep the workbook in this format?"    
                       Click the </t>
    </r>
    <r>
      <rPr>
        <b/>
        <sz val="12"/>
        <rFont val="Arial"/>
        <family val="2"/>
      </rPr>
      <t>[Yes]</t>
    </r>
    <r>
      <rPr>
        <sz val="12"/>
        <rFont val="Arial"/>
        <family val="2"/>
      </rPr>
      <t xml:space="preserve"> option </t>
    </r>
  </si>
  <si>
    <r>
      <t xml:space="preserve">    7.  Log in to the NetDMR web site (Indiana DEM) at:</t>
    </r>
    <r>
      <rPr>
        <b/>
        <u val="single"/>
        <sz val="12"/>
        <rFont val="Arial"/>
        <family val="2"/>
      </rPr>
      <t xml:space="preserve">  </t>
    </r>
  </si>
  <si>
    <r>
      <rPr>
        <sz val="14"/>
        <color indexed="12"/>
        <rFont val="Arial"/>
        <family val="2"/>
      </rPr>
      <t xml:space="preserve">             </t>
    </r>
    <r>
      <rPr>
        <u val="single"/>
        <sz val="14"/>
        <color indexed="12"/>
        <rFont val="Arial"/>
        <family val="2"/>
      </rPr>
      <t xml:space="preserve"> https://netdmr.epa.gov/netdmr/public/home.htm</t>
    </r>
  </si>
  <si>
    <t xml:space="preserve">    If chlorine is used for disinfection, the permittee must manually insert Total Residual Chlorine (TRC) limitations into Page 1 
    of the form.  Such limitations are found within Table 2 of Attachment A of the NPDES permit.  If chlorine is not used to 
    disinfect wet weather treatment flow, the TRC column will remain blank. For values less than the detection limit, a "&lt;" sign 
    can be entered in the column to the left of the value.</t>
  </si>
  <si>
    <t xml:space="preserve">    If the wet weather treatment facility discharges directly into the Ohio River, Attachment A of the NPDES permit will contain 
    Fecal Coliform limitations.  If such limitations are in the Attachment A of the permit, reporting data shall be included on the 
    form.  If Fecal Coliform limits are not included in Attachment A of the permit, the Fecal Coliform column will remain blank.</t>
  </si>
  <si>
    <t xml:space="preserve">    Wastewater Treatment Plant (WWTP) and precipitation data must be completed on Page 3 of this from.  If the permittee 
    uses State Form 50546 (R3/7-13) for reporting untreated CSO discharges, the data must be  entered on the WWTF MMR 
    form as well.</t>
  </si>
  <si>
    <t xml:space="preserve">    This form should be saved as a pdf document to be attached to the DMR submittal through NetDMR. To create a pdf 
    document in Excel 2010, select: File -&gt; Save as Adobe PDF. Then Add pages 1-4 to the "Sheets in PDF" window. 
    Then select the button "Convert to PDF". </t>
  </si>
  <si>
    <t xml:space="preserve">    For NetDMR submittal instructions, see the IDEM NetDMR web page at: </t>
  </si>
  <si>
    <t xml:space="preserve">    An example of a completed WWTF MMR form can be found on the IDEM CSO webpage located at:</t>
  </si>
  <si>
    <r>
      <rPr>
        <sz val="14"/>
        <color indexed="12"/>
        <rFont val="Calibri"/>
        <family val="2"/>
      </rPr>
      <t xml:space="preserve">        </t>
    </r>
    <r>
      <rPr>
        <u val="single"/>
        <sz val="14"/>
        <color indexed="12"/>
        <rFont val="Calibri"/>
        <family val="2"/>
      </rPr>
      <t>http://in.gov/idem/cleanwater/2455.htm</t>
    </r>
  </si>
  <si>
    <r>
      <rPr>
        <sz val="14"/>
        <color indexed="12"/>
        <rFont val="Calibri"/>
        <family val="2"/>
      </rPr>
      <t xml:space="preserve">        </t>
    </r>
    <r>
      <rPr>
        <u val="single"/>
        <sz val="14"/>
        <color indexed="12"/>
        <rFont val="Calibri"/>
        <family val="2"/>
      </rPr>
      <t>http://in.gov/idem/cleanwater/2422.htm</t>
    </r>
  </si>
  <si>
    <r>
      <t xml:space="preserve">    8. Select "</t>
    </r>
    <r>
      <rPr>
        <b/>
        <sz val="12"/>
        <rFont val="Arial"/>
        <family val="2"/>
      </rPr>
      <t>Perform Import</t>
    </r>
    <r>
      <rPr>
        <sz val="12"/>
        <rFont val="Arial"/>
        <family val="2"/>
      </rPr>
      <t>" from the menu option under "Import DMRs"</t>
    </r>
  </si>
  <si>
    <t xml:space="preserve">    9. Use the "Browse…" button to select your newly created CSV file</t>
  </si>
  <si>
    <t xml:space="preserve">    10. Click the [Submit Import File] button</t>
  </si>
  <si>
    <t xml:space="preserve">    11. The software will automatically move to the "Check Results" page.  Your file should be listed as the top row in the 
     Import File column.  Wait for the Status column to change to either; Success, Completed with Errors, or Failed.</t>
  </si>
  <si>
    <t xml:space="preserve">   12. For files that finish with either Success or Completed with Errors, go to the All DMRs &amp; CORs option under Search 
    then review, complete and submit the DMR.  For files that are marked as "Failed", click on the document icon in the "Log" 
    column to see what the errors are.  Then go back to either the Excel file or the CSV file and correct those problems then 
    try importing again.</t>
  </si>
  <si>
    <t>If Attachment A of the NPDES permit contains a parameter not included on page 1 of the WWTF MMR Form (i.e. Ammonia-nitrogen, Phosphorus, or Dissolved Oxygen), please select the parameter from the drop down list on page 2, row 17. Manually enter the resulting data in the blank columns.</t>
  </si>
  <si>
    <t xml:space="preserve">    For E. coli, the permittee shall report the geometric mean of all grab samples taken for the month, provided that 3 or more 
    grab samples are collected. If less than 3 grab samples are taken then the arithmetic mean shall be reported.  The 
    spreadsheet will calculate this automatically. For values less than the detection limit, a "&lt;" sign can be entered in the column 
    to the left of the value.</t>
  </si>
  <si>
    <t>OLD E.COLI INSTRUCTIONS</t>
  </si>
  <si>
    <t>NEW E.COLI INSTRUCTIONS</t>
  </si>
  <si>
    <t>INSTRUCTIONS FOR MONTHLY MONITORING REPORT (MMR) 
FOR WET WEATHER TREATMENT FACILITES, State Form 56109</t>
  </si>
  <si>
    <r>
      <t xml:space="preserve">                  b) Set the File Name to one that you will recognize different than the name this was previously saved as.
                       </t>
    </r>
    <r>
      <rPr>
        <i/>
        <sz val="12"/>
        <rFont val="Arial"/>
        <family val="2"/>
      </rPr>
      <t xml:space="preserve">(Note: Do not use any spaces or special characters in the file name.) </t>
    </r>
  </si>
  <si>
    <t>OUTFALL  NUMBER</t>
  </si>
  <si>
    <t>MONTH</t>
  </si>
  <si>
    <t>YEAR</t>
  </si>
  <si>
    <r>
      <t xml:space="preserve">Date </t>
    </r>
    <r>
      <rPr>
        <i/>
        <sz val="10"/>
        <rFont val="Arial Narrow"/>
        <family val="2"/>
      </rPr>
      <t>(month, day, year)</t>
    </r>
  </si>
  <si>
    <r>
      <t>Date</t>
    </r>
    <r>
      <rPr>
        <i/>
        <sz val="10"/>
        <rFont val="Arial Narrow"/>
        <family val="2"/>
      </rPr>
      <t xml:space="preserve"> (month, day, year)</t>
    </r>
  </si>
  <si>
    <t xml:space="preserve">   </t>
  </si>
  <si>
    <t xml:space="preserve">Please complete one copy per month, per outfall.  </t>
  </si>
  <si>
    <t>(i.e., IN0012345_002CP_MMR_2016_10.pdf)</t>
  </si>
  <si>
    <t>When complete, save as a pdf document with</t>
  </si>
  <si>
    <t>the following format for the MMR name:</t>
  </si>
  <si>
    <t>INxxxxxxx_00#X_MMR_YYYY_MM.pdf</t>
  </si>
  <si>
    <r>
      <t>For</t>
    </r>
    <r>
      <rPr>
        <i/>
        <sz val="12"/>
        <color indexed="8"/>
        <rFont val="Arial"/>
        <family val="2"/>
      </rPr>
      <t xml:space="preserve"> E. coli</t>
    </r>
    <r>
      <rPr>
        <sz val="12"/>
        <color indexed="8"/>
        <rFont val="Arial"/>
        <family val="2"/>
      </rPr>
      <t xml:space="preserve">, the permittee shall report the geometric mean of all grab samples taken for the month. If only one sample per day has been collected, the spreadsheet will calculate this automatically. If there is more than one sample collected on any day, manually calculate the geometric mean value for all samples collected and enter it into cell R60 on Page 1 . For values less than the detection limit, a "&lt; " sign can be entered in the column to the left of the value.     </t>
    </r>
  </si>
  <si>
    <t>before attaching to the corresponding netDMR.</t>
  </si>
  <si>
    <t xml:space="preserve">Page 1 of 2  </t>
  </si>
  <si>
    <t xml:space="preserve">Page 2 of 2  </t>
  </si>
  <si>
    <t>(Inches/ Measurement Interval)</t>
  </si>
  <si>
    <t>State Form 56109 (R / 12-21)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</si>
</sst>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F400]h:mm:ss\ AM/PM"/>
    <numFmt numFmtId="167" formatCode="[$-409]h:mm\ AM/PM;@"/>
    <numFmt numFmtId="168" formatCode="mm/dd/yy;@"/>
    <numFmt numFmtId="169" formatCode="[$-409]dddd\,\ mmmm\ dd\,\ yyyy"/>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mm/dd/yyyy"/>
    <numFmt numFmtId="176" formatCode="########0.##########"/>
    <numFmt numFmtId="177" formatCode="m/d/yyyy"/>
    <numFmt numFmtId="178" formatCode=";;;"/>
    <numFmt numFmtId="179" formatCode="[$-409]h:mm:ss\ AM/PM"/>
    <numFmt numFmtId="180" formatCode="mmm"/>
    <numFmt numFmtId="181" formatCode="yyyy"/>
    <numFmt numFmtId="182" formatCode="ddd"/>
    <numFmt numFmtId="183" formatCode="yyyy\-mm\-dd"/>
  </numFmts>
  <fonts count="92">
    <font>
      <sz val="11"/>
      <color theme="1"/>
      <name val="Calibri"/>
      <family val="2"/>
    </font>
    <font>
      <sz val="11"/>
      <color indexed="8"/>
      <name val="Calibri"/>
      <family val="2"/>
    </font>
    <font>
      <sz val="10"/>
      <name val="Arial"/>
      <family val="2"/>
    </font>
    <font>
      <b/>
      <sz val="10"/>
      <name val="Arial"/>
      <family val="2"/>
    </font>
    <font>
      <sz val="8"/>
      <name val="Arial"/>
      <family val="2"/>
    </font>
    <font>
      <sz val="6"/>
      <name val="Arial"/>
      <family val="2"/>
    </font>
    <font>
      <sz val="7"/>
      <name val="Arial"/>
      <family val="2"/>
    </font>
    <font>
      <sz val="8"/>
      <color indexed="9"/>
      <name val="Arial"/>
      <family val="2"/>
    </font>
    <font>
      <b/>
      <sz val="8"/>
      <name val="Arial"/>
      <family val="2"/>
    </font>
    <font>
      <sz val="10"/>
      <name val="Arial Narrow"/>
      <family val="2"/>
    </font>
    <font>
      <sz val="9"/>
      <name val="Arial"/>
      <family val="2"/>
    </font>
    <font>
      <b/>
      <sz val="11"/>
      <name val="Arial"/>
      <family val="2"/>
    </font>
    <font>
      <b/>
      <sz val="12"/>
      <name val="Arial"/>
      <family val="2"/>
    </font>
    <font>
      <sz val="12"/>
      <name val="Arial"/>
      <family val="2"/>
    </font>
    <font>
      <sz val="8"/>
      <name val="Tahoma"/>
      <family val="2"/>
    </font>
    <font>
      <b/>
      <u val="single"/>
      <sz val="12"/>
      <name val="Arial"/>
      <family val="2"/>
    </font>
    <font>
      <u val="single"/>
      <sz val="14"/>
      <color indexed="12"/>
      <name val="Arial"/>
      <family val="2"/>
    </font>
    <font>
      <sz val="14"/>
      <color indexed="12"/>
      <name val="Arial"/>
      <family val="2"/>
    </font>
    <font>
      <u val="single"/>
      <sz val="14"/>
      <color indexed="12"/>
      <name val="Calibri"/>
      <family val="2"/>
    </font>
    <font>
      <sz val="14"/>
      <color indexed="12"/>
      <name val="Calibri"/>
      <family val="2"/>
    </font>
    <font>
      <u val="single"/>
      <sz val="12"/>
      <name val="Arial"/>
      <family val="2"/>
    </font>
    <font>
      <i/>
      <sz val="12"/>
      <name val="Arial"/>
      <family val="2"/>
    </font>
    <font>
      <i/>
      <sz val="10"/>
      <name val="Arial Narrow"/>
      <family val="2"/>
    </font>
    <font>
      <sz val="12"/>
      <color indexed="8"/>
      <name val="Arial"/>
      <family val="2"/>
    </font>
    <font>
      <i/>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2"/>
      <name val="Arial"/>
      <family val="2"/>
    </font>
    <font>
      <sz val="11"/>
      <name val="Calibri"/>
      <family val="2"/>
    </font>
    <font>
      <sz val="11"/>
      <color indexed="36"/>
      <name val="Calibri"/>
      <family val="2"/>
    </font>
    <font>
      <sz val="8"/>
      <color indexed="8"/>
      <name val="Calibri"/>
      <family val="2"/>
    </font>
    <font>
      <b/>
      <sz val="11"/>
      <name val="Calibri"/>
      <family val="2"/>
    </font>
    <font>
      <sz val="8"/>
      <color indexed="9"/>
      <name val="Calibri"/>
      <family val="2"/>
    </font>
    <font>
      <sz val="8"/>
      <color indexed="22"/>
      <name val="Arial"/>
      <family val="2"/>
    </font>
    <font>
      <sz val="8"/>
      <color indexed="10"/>
      <name val="Arial"/>
      <family val="2"/>
    </font>
    <font>
      <sz val="10"/>
      <color indexed="10"/>
      <name val="Arial"/>
      <family val="2"/>
    </font>
    <font>
      <sz val="10"/>
      <color indexed="36"/>
      <name val="Arial"/>
      <family val="2"/>
    </font>
    <font>
      <sz val="8"/>
      <color indexed="8"/>
      <name val="Arial"/>
      <family val="2"/>
    </font>
    <font>
      <sz val="8"/>
      <name val="Calibri"/>
      <family val="2"/>
    </font>
    <font>
      <u val="single"/>
      <sz val="11"/>
      <name val="Calibri"/>
      <family val="2"/>
    </font>
    <font>
      <sz val="8"/>
      <color indexed="36"/>
      <name val="Arial"/>
      <family val="2"/>
    </font>
    <font>
      <b/>
      <sz val="8"/>
      <color indexed="3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name val="Calibri"/>
      <family val="2"/>
    </font>
    <font>
      <sz val="8"/>
      <color theme="4"/>
      <name val="Arial"/>
      <family val="2"/>
    </font>
    <font>
      <sz val="11"/>
      <color rgb="FF7030A0"/>
      <name val="Calibri"/>
      <family val="2"/>
    </font>
    <font>
      <sz val="8"/>
      <color theme="1"/>
      <name val="Calibri"/>
      <family val="2"/>
    </font>
    <font>
      <sz val="8"/>
      <color theme="0"/>
      <name val="Calibri"/>
      <family val="2"/>
    </font>
    <font>
      <sz val="8"/>
      <color theme="0" tint="-0.1499900072813034"/>
      <name val="Arial"/>
      <family val="2"/>
    </font>
    <font>
      <sz val="8"/>
      <color rgb="FFFF0000"/>
      <name val="Arial"/>
      <family val="2"/>
    </font>
    <font>
      <sz val="10"/>
      <color rgb="FFFF0000"/>
      <name val="Arial"/>
      <family val="2"/>
    </font>
    <font>
      <sz val="8"/>
      <color theme="0"/>
      <name val="Arial"/>
      <family val="2"/>
    </font>
    <font>
      <sz val="10"/>
      <color rgb="FF7030A0"/>
      <name val="Arial"/>
      <family val="2"/>
    </font>
    <font>
      <u val="single"/>
      <sz val="14"/>
      <color theme="10"/>
      <name val="Calibri"/>
      <family val="2"/>
    </font>
    <font>
      <u val="single"/>
      <sz val="14"/>
      <color theme="10"/>
      <name val="Arial"/>
      <family val="2"/>
    </font>
    <font>
      <sz val="8"/>
      <color theme="1"/>
      <name val="Arial"/>
      <family val="2"/>
    </font>
    <font>
      <sz val="12"/>
      <color theme="1"/>
      <name val="Arial"/>
      <family val="2"/>
    </font>
    <font>
      <sz val="8"/>
      <color rgb="FF7030A0"/>
      <name val="Arial"/>
      <family val="2"/>
    </font>
    <font>
      <b/>
      <sz val="8"/>
      <color rgb="FF7030A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double"/>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style="medium"/>
      <right style="medium"/>
      <top style="medium"/>
      <bottom style="medium"/>
    </border>
    <border>
      <left style="thin">
        <color theme="0" tint="-0.3499799966812134"/>
      </left>
      <right style="thin">
        <color theme="0" tint="-0.3499799966812134"/>
      </right>
      <top style="thin">
        <color theme="0" tint="-0.3499799966812134"/>
      </top>
      <bottom>
        <color indexed="63"/>
      </bottom>
    </border>
    <border>
      <left>
        <color indexed="63"/>
      </left>
      <right style="medium"/>
      <top>
        <color indexed="63"/>
      </top>
      <bottom style="thin"/>
    </border>
    <border>
      <left style="medium"/>
      <right style="medium"/>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medium"/>
      <top>
        <color indexed="63"/>
      </top>
      <bottom style="medium"/>
    </border>
    <border>
      <left style="medium"/>
      <right style="medium"/>
      <top style="thick"/>
      <bottom>
        <color indexed="63"/>
      </bottom>
    </border>
    <border>
      <left>
        <color indexed="63"/>
      </left>
      <right style="thin"/>
      <top>
        <color indexed="63"/>
      </top>
      <bottom style="medium"/>
    </border>
    <border>
      <left style="medium"/>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medium"/>
    </border>
    <border>
      <left style="thin"/>
      <right style="thin"/>
      <top>
        <color indexed="63"/>
      </top>
      <bottom style="thin"/>
    </border>
    <border>
      <left>
        <color indexed="63"/>
      </left>
      <right style="double"/>
      <top>
        <color indexed="63"/>
      </top>
      <bottom style="thin"/>
    </border>
    <border>
      <left style="thin"/>
      <right>
        <color indexed="63"/>
      </right>
      <top style="thin"/>
      <bottom style="double"/>
    </border>
    <border>
      <left>
        <color indexed="63"/>
      </left>
      <right style="thin"/>
      <top style="thin"/>
      <bottom style="double"/>
    </border>
    <border>
      <left>
        <color indexed="63"/>
      </left>
      <right style="double"/>
      <top style="thin"/>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85">
    <xf numFmtId="0" fontId="0" fillId="0" borderId="0" xfId="0" applyFont="1" applyAlignment="1">
      <alignment/>
    </xf>
    <xf numFmtId="0" fontId="4" fillId="0" borderId="0" xfId="0" applyFont="1" applyAlignment="1">
      <alignment/>
    </xf>
    <xf numFmtId="0" fontId="2" fillId="33" borderId="0" xfId="0" applyFont="1" applyFill="1" applyAlignment="1">
      <alignment/>
    </xf>
    <xf numFmtId="0" fontId="3" fillId="33" borderId="0" xfId="0" applyFont="1" applyFill="1" applyAlignment="1">
      <alignment/>
    </xf>
    <xf numFmtId="0" fontId="5" fillId="33" borderId="0" xfId="0" applyFont="1" applyFill="1" applyAlignment="1">
      <alignment horizontal="center" vertical="top"/>
    </xf>
    <xf numFmtId="0" fontId="4" fillId="33" borderId="0" xfId="0" applyFont="1" applyFill="1" applyAlignment="1">
      <alignment/>
    </xf>
    <xf numFmtId="0" fontId="5" fillId="33" borderId="10" xfId="0" applyFont="1" applyFill="1" applyBorder="1" applyAlignment="1">
      <alignment vertical="top"/>
    </xf>
    <xf numFmtId="0" fontId="4" fillId="33" borderId="11" xfId="0" applyFont="1" applyFill="1" applyBorder="1" applyAlignment="1">
      <alignment/>
    </xf>
    <xf numFmtId="0" fontId="4" fillId="33" borderId="12" xfId="0" applyFont="1" applyFill="1" applyBorder="1" applyAlignment="1">
      <alignment/>
    </xf>
    <xf numFmtId="0" fontId="4" fillId="33" borderId="0" xfId="0" applyFont="1" applyFill="1" applyBorder="1" applyAlignment="1">
      <alignment/>
    </xf>
    <xf numFmtId="0" fontId="6" fillId="33" borderId="0" xfId="0" applyFont="1" applyFill="1" applyAlignment="1">
      <alignment/>
    </xf>
    <xf numFmtId="0" fontId="4" fillId="33" borderId="0" xfId="0" applyFont="1" applyFill="1" applyBorder="1" applyAlignment="1" applyProtection="1">
      <alignment/>
      <protection/>
    </xf>
    <xf numFmtId="0" fontId="0" fillId="33" borderId="0" xfId="0" applyFill="1" applyBorder="1" applyAlignment="1" applyProtection="1">
      <alignment vertical="center"/>
      <protection/>
    </xf>
    <xf numFmtId="49" fontId="4" fillId="33" borderId="0" xfId="0" applyNumberFormat="1" applyFont="1" applyFill="1" applyAlignment="1">
      <alignment horizontal="center"/>
    </xf>
    <xf numFmtId="49" fontId="4" fillId="0" borderId="13" xfId="0" applyNumberFormat="1" applyFont="1" applyBorder="1" applyAlignment="1" applyProtection="1">
      <alignment horizontal="center"/>
      <protection locked="0"/>
    </xf>
    <xf numFmtId="0" fontId="4" fillId="33" borderId="0" xfId="0" applyFont="1" applyFill="1" applyAlignment="1">
      <alignment vertical="center"/>
    </xf>
    <xf numFmtId="0" fontId="7" fillId="33" borderId="0" xfId="0" applyFont="1" applyFill="1" applyAlignment="1">
      <alignment/>
    </xf>
    <xf numFmtId="0" fontId="4" fillId="0" borderId="0" xfId="0" applyFont="1" applyBorder="1" applyAlignment="1">
      <alignment/>
    </xf>
    <xf numFmtId="0" fontId="4" fillId="33" borderId="10" xfId="0" applyFont="1" applyFill="1" applyBorder="1" applyAlignment="1">
      <alignment/>
    </xf>
    <xf numFmtId="0" fontId="9" fillId="0" borderId="14" xfId="0" applyFont="1" applyBorder="1" applyAlignment="1">
      <alignment vertical="center"/>
    </xf>
    <xf numFmtId="0" fontId="4" fillId="0" borderId="15" xfId="0" applyFont="1" applyFill="1" applyBorder="1" applyAlignment="1">
      <alignment horizontal="left"/>
    </xf>
    <xf numFmtId="0" fontId="9" fillId="0" borderId="16" xfId="0" applyFont="1" applyFill="1" applyBorder="1" applyAlignment="1">
      <alignment horizontal="left" vertical="center"/>
    </xf>
    <xf numFmtId="0" fontId="4" fillId="0" borderId="17" xfId="0" applyFont="1" applyFill="1" applyBorder="1" applyAlignment="1">
      <alignment horizontal="left"/>
    </xf>
    <xf numFmtId="0" fontId="10" fillId="0" borderId="0" xfId="0" applyFont="1" applyFill="1" applyAlignment="1" applyProtection="1">
      <alignment horizontal="left"/>
      <protection locked="0"/>
    </xf>
    <xf numFmtId="0" fontId="4" fillId="0" borderId="0" xfId="0" applyFont="1" applyFill="1" applyAlignment="1">
      <alignment/>
    </xf>
    <xf numFmtId="0" fontId="76" fillId="0" borderId="0" xfId="0" applyFont="1" applyAlignment="1">
      <alignment/>
    </xf>
    <xf numFmtId="0" fontId="75" fillId="0" borderId="0" xfId="0" applyFont="1" applyAlignment="1">
      <alignment/>
    </xf>
    <xf numFmtId="49" fontId="77" fillId="0" borderId="18" xfId="0" applyNumberFormat="1" applyFont="1" applyBorder="1" applyAlignment="1" applyProtection="1">
      <alignment/>
      <protection locked="0"/>
    </xf>
    <xf numFmtId="49" fontId="77" fillId="0" borderId="19" xfId="0" applyNumberFormat="1" applyFont="1" applyBorder="1" applyAlignment="1" applyProtection="1">
      <alignment/>
      <protection locked="0"/>
    </xf>
    <xf numFmtId="0" fontId="4" fillId="33" borderId="20" xfId="0" applyFont="1" applyFill="1" applyBorder="1" applyAlignment="1">
      <alignment/>
    </xf>
    <xf numFmtId="2" fontId="77" fillId="0" borderId="19" xfId="0" applyNumberFormat="1" applyFont="1" applyBorder="1" applyAlignment="1" applyProtection="1">
      <alignment horizontal="center"/>
      <protection locked="0"/>
    </xf>
    <xf numFmtId="0" fontId="11" fillId="33" borderId="0" xfId="0" applyFont="1" applyFill="1" applyAlignment="1">
      <alignment/>
    </xf>
    <xf numFmtId="0" fontId="4" fillId="33" borderId="0" xfId="0" applyFont="1" applyFill="1" applyAlignment="1">
      <alignment horizontal="left" vertical="top"/>
    </xf>
    <xf numFmtId="0" fontId="44" fillId="0" borderId="0" xfId="0" applyFont="1" applyAlignment="1">
      <alignment/>
    </xf>
    <xf numFmtId="1" fontId="44" fillId="0" borderId="0" xfId="0" applyNumberFormat="1" applyFont="1" applyAlignment="1">
      <alignment/>
    </xf>
    <xf numFmtId="0" fontId="78" fillId="0" borderId="0" xfId="0" applyFont="1" applyAlignment="1">
      <alignment/>
    </xf>
    <xf numFmtId="0" fontId="0" fillId="0" borderId="0" xfId="0" applyAlignment="1">
      <alignment horizontal="center"/>
    </xf>
    <xf numFmtId="0" fontId="79" fillId="0" borderId="0" xfId="0" applyFont="1" applyAlignment="1">
      <alignment/>
    </xf>
    <xf numFmtId="49" fontId="77" fillId="0" borderId="18" xfId="0" applyNumberFormat="1" applyFont="1" applyBorder="1" applyAlignment="1" applyProtection="1">
      <alignment horizontal="center"/>
      <protection locked="0"/>
    </xf>
    <xf numFmtId="164" fontId="4" fillId="0" borderId="18" xfId="0" applyNumberFormat="1" applyFont="1" applyBorder="1" applyAlignment="1" applyProtection="1">
      <alignment horizontal="center"/>
      <protection locked="0"/>
    </xf>
    <xf numFmtId="49" fontId="8" fillId="0" borderId="18" xfId="0" applyNumberFormat="1" applyFont="1" applyBorder="1" applyAlignment="1" applyProtection="1">
      <alignment horizontal="center"/>
      <protection locked="0"/>
    </xf>
    <xf numFmtId="0" fontId="47" fillId="0" borderId="21" xfId="0" applyFont="1" applyBorder="1" applyAlignment="1">
      <alignment horizontal="center"/>
    </xf>
    <xf numFmtId="0" fontId="47" fillId="0" borderId="19" xfId="0" applyFont="1" applyBorder="1" applyAlignment="1">
      <alignment horizontal="center"/>
    </xf>
    <xf numFmtId="0" fontId="44" fillId="0" borderId="22" xfId="0" applyFont="1" applyBorder="1" applyAlignment="1">
      <alignment horizontal="center"/>
    </xf>
    <xf numFmtId="0" fontId="44" fillId="0" borderId="19" xfId="0" applyFont="1" applyBorder="1" applyAlignment="1">
      <alignment horizontal="center"/>
    </xf>
    <xf numFmtId="2" fontId="4" fillId="0" borderId="21" xfId="0" applyNumberFormat="1" applyFont="1" applyBorder="1" applyAlignment="1" applyProtection="1">
      <alignment horizontal="center"/>
      <protection locked="0"/>
    </xf>
    <xf numFmtId="0" fontId="44" fillId="0" borderId="21" xfId="0" applyFont="1" applyBorder="1" applyAlignment="1">
      <alignment/>
    </xf>
    <xf numFmtId="0" fontId="44" fillId="0" borderId="19" xfId="0" applyFont="1" applyBorder="1" applyAlignment="1">
      <alignment/>
    </xf>
    <xf numFmtId="164" fontId="4" fillId="0" borderId="18" xfId="0" applyNumberFormat="1" applyFont="1" applyBorder="1" applyAlignment="1" applyProtection="1">
      <alignment/>
      <protection locked="0"/>
    </xf>
    <xf numFmtId="0" fontId="44" fillId="0" borderId="22" xfId="0" applyFont="1" applyBorder="1" applyAlignment="1">
      <alignment/>
    </xf>
    <xf numFmtId="0" fontId="47" fillId="0" borderId="21" xfId="0" applyFont="1" applyBorder="1" applyAlignment="1">
      <alignment horizontal="center"/>
    </xf>
    <xf numFmtId="49" fontId="77" fillId="0" borderId="21" xfId="0" applyNumberFormat="1" applyFont="1" applyBorder="1" applyAlignment="1" applyProtection="1">
      <alignment/>
      <protection locked="0"/>
    </xf>
    <xf numFmtId="49" fontId="4" fillId="0" borderId="21" xfId="0" applyNumberFormat="1" applyFont="1" applyBorder="1" applyAlignment="1" applyProtection="1">
      <alignment horizontal="center"/>
      <protection locked="0"/>
    </xf>
    <xf numFmtId="49" fontId="77" fillId="0" borderId="21" xfId="0" applyNumberFormat="1" applyFont="1" applyBorder="1" applyAlignment="1" applyProtection="1">
      <alignment horizontal="center"/>
      <protection locked="0"/>
    </xf>
    <xf numFmtId="0" fontId="44" fillId="0" borderId="21" xfId="0" applyFont="1" applyBorder="1" applyAlignment="1">
      <alignment horizontal="center"/>
    </xf>
    <xf numFmtId="2" fontId="4" fillId="0" borderId="11" xfId="0" applyNumberFormat="1" applyFont="1" applyBorder="1" applyAlignment="1" applyProtection="1">
      <alignment horizontal="center" wrapText="1"/>
      <protection locked="0"/>
    </xf>
    <xf numFmtId="0" fontId="0" fillId="0" borderId="0" xfId="0" applyBorder="1" applyAlignment="1">
      <alignment horizontal="center" wrapText="1"/>
    </xf>
    <xf numFmtId="2" fontId="77" fillId="0" borderId="21" xfId="0" applyNumberFormat="1" applyFont="1" applyBorder="1" applyAlignment="1" applyProtection="1">
      <alignment horizontal="center"/>
      <protection locked="0"/>
    </xf>
    <xf numFmtId="0" fontId="44" fillId="0" borderId="11" xfId="0" applyFont="1" applyBorder="1" applyAlignment="1">
      <alignment horizontal="center" wrapText="1"/>
    </xf>
    <xf numFmtId="0" fontId="80" fillId="0" borderId="0" xfId="0" applyFont="1" applyAlignment="1">
      <alignment/>
    </xf>
    <xf numFmtId="0" fontId="4" fillId="34" borderId="18" xfId="0" applyFont="1" applyFill="1" applyBorder="1" applyAlignment="1">
      <alignment/>
    </xf>
    <xf numFmtId="0" fontId="4" fillId="34" borderId="21" xfId="0" applyFont="1" applyFill="1" applyBorder="1" applyAlignment="1">
      <alignment/>
    </xf>
    <xf numFmtId="0" fontId="4" fillId="34" borderId="19" xfId="0" applyFont="1" applyFill="1" applyBorder="1" applyAlignment="1">
      <alignment/>
    </xf>
    <xf numFmtId="0" fontId="4" fillId="34" borderId="23" xfId="0" applyFont="1" applyFill="1" applyBorder="1" applyAlignment="1">
      <alignment/>
    </xf>
    <xf numFmtId="0" fontId="4" fillId="34" borderId="24" xfId="0" applyFont="1" applyFill="1" applyBorder="1" applyAlignment="1">
      <alignment/>
    </xf>
    <xf numFmtId="0" fontId="4" fillId="34" borderId="10" xfId="0" applyFont="1" applyFill="1" applyBorder="1" applyAlignment="1">
      <alignment/>
    </xf>
    <xf numFmtId="0" fontId="4" fillId="34" borderId="11" xfId="0" applyFont="1" applyFill="1" applyBorder="1" applyAlignment="1">
      <alignment/>
    </xf>
    <xf numFmtId="0" fontId="4" fillId="34" borderId="25" xfId="0" applyFont="1" applyFill="1" applyBorder="1" applyAlignment="1">
      <alignment/>
    </xf>
    <xf numFmtId="0" fontId="4" fillId="34" borderId="0" xfId="0" applyFont="1" applyFill="1" applyBorder="1" applyAlignment="1">
      <alignment/>
    </xf>
    <xf numFmtId="0" fontId="4" fillId="34" borderId="26" xfId="0" applyFont="1" applyFill="1" applyBorder="1" applyAlignment="1">
      <alignment/>
    </xf>
    <xf numFmtId="0" fontId="6" fillId="34" borderId="10" xfId="0" applyFont="1" applyFill="1" applyBorder="1" applyAlignment="1">
      <alignment/>
    </xf>
    <xf numFmtId="0" fontId="4" fillId="34" borderId="12" xfId="0" applyFont="1" applyFill="1" applyBorder="1" applyAlignment="1">
      <alignment/>
    </xf>
    <xf numFmtId="0" fontId="9" fillId="34" borderId="14" xfId="0" applyFont="1" applyFill="1" applyBorder="1" applyAlignment="1">
      <alignment vertical="center"/>
    </xf>
    <xf numFmtId="0" fontId="4" fillId="34" borderId="15" xfId="0" applyFont="1" applyFill="1" applyBorder="1" applyAlignment="1">
      <alignment horizontal="left"/>
    </xf>
    <xf numFmtId="0" fontId="9" fillId="34" borderId="27" xfId="0" applyFont="1" applyFill="1" applyBorder="1" applyAlignment="1">
      <alignment horizontal="left" vertical="center"/>
    </xf>
    <xf numFmtId="0" fontId="4" fillId="34" borderId="0" xfId="0" applyFont="1" applyFill="1" applyBorder="1" applyAlignment="1">
      <alignment horizontal="left"/>
    </xf>
    <xf numFmtId="0" fontId="4" fillId="34" borderId="14" xfId="0" applyFont="1" applyFill="1" applyBorder="1" applyAlignment="1">
      <alignment/>
    </xf>
    <xf numFmtId="0" fontId="4" fillId="34" borderId="15" xfId="0" applyFont="1" applyFill="1" applyBorder="1" applyAlignment="1">
      <alignment/>
    </xf>
    <xf numFmtId="0" fontId="6" fillId="34" borderId="27" xfId="0" applyFont="1" applyFill="1" applyBorder="1" applyAlignment="1">
      <alignment/>
    </xf>
    <xf numFmtId="0" fontId="4" fillId="34" borderId="0" xfId="0" applyFont="1" applyFill="1" applyBorder="1" applyAlignment="1">
      <alignment/>
    </xf>
    <xf numFmtId="0" fontId="6" fillId="34" borderId="27" xfId="0" applyFont="1" applyFill="1" applyBorder="1" applyAlignment="1">
      <alignment/>
    </xf>
    <xf numFmtId="0" fontId="6" fillId="34" borderId="28" xfId="0" applyFont="1" applyFill="1" applyBorder="1" applyAlignment="1">
      <alignment/>
    </xf>
    <xf numFmtId="0" fontId="4" fillId="34" borderId="29" xfId="0" applyFont="1" applyFill="1" applyBorder="1" applyAlignment="1">
      <alignment/>
    </xf>
    <xf numFmtId="0" fontId="4" fillId="0" borderId="30" xfId="0" applyFont="1" applyFill="1" applyBorder="1" applyAlignment="1">
      <alignment horizontal="left"/>
    </xf>
    <xf numFmtId="0" fontId="9" fillId="0" borderId="30" xfId="0" applyFont="1" applyBorder="1" applyAlignment="1">
      <alignment vertical="center"/>
    </xf>
    <xf numFmtId="0" fontId="4" fillId="33" borderId="30" xfId="0" applyFont="1" applyFill="1" applyBorder="1" applyAlignment="1">
      <alignment/>
    </xf>
    <xf numFmtId="0" fontId="9" fillId="0" borderId="30" xfId="0" applyFont="1" applyFill="1" applyBorder="1" applyAlignment="1">
      <alignment horizontal="left" vertical="center"/>
    </xf>
    <xf numFmtId="0" fontId="4" fillId="0" borderId="31" xfId="0" applyFont="1" applyFill="1" applyBorder="1" applyAlignment="1">
      <alignment horizontal="left"/>
    </xf>
    <xf numFmtId="0" fontId="4" fillId="34" borderId="18" xfId="0" applyFont="1" applyFill="1" applyBorder="1" applyAlignment="1">
      <alignment/>
    </xf>
    <xf numFmtId="0" fontId="4" fillId="34" borderId="21" xfId="0" applyFont="1" applyFill="1" applyBorder="1" applyAlignment="1">
      <alignment/>
    </xf>
    <xf numFmtId="0" fontId="4" fillId="34" borderId="19" xfId="0" applyFont="1" applyFill="1" applyBorder="1" applyAlignment="1">
      <alignment/>
    </xf>
    <xf numFmtId="0" fontId="4" fillId="34" borderId="23" xfId="0" applyFont="1" applyFill="1" applyBorder="1" applyAlignment="1">
      <alignment/>
    </xf>
    <xf numFmtId="0" fontId="4" fillId="34" borderId="24" xfId="0" applyFont="1" applyFill="1" applyBorder="1" applyAlignment="1">
      <alignment/>
    </xf>
    <xf numFmtId="0" fontId="8" fillId="34" borderId="19" xfId="0" applyFont="1" applyFill="1" applyBorder="1" applyAlignment="1">
      <alignment/>
    </xf>
    <xf numFmtId="0" fontId="4" fillId="34" borderId="19" xfId="0" applyFont="1" applyFill="1" applyBorder="1" applyAlignment="1">
      <alignment horizontal="center"/>
    </xf>
    <xf numFmtId="0" fontId="8" fillId="34" borderId="21" xfId="0" applyFont="1" applyFill="1" applyBorder="1" applyAlignment="1">
      <alignment/>
    </xf>
    <xf numFmtId="0" fontId="0" fillId="34" borderId="21" xfId="0" applyFill="1" applyBorder="1" applyAlignment="1">
      <alignment/>
    </xf>
    <xf numFmtId="0" fontId="0" fillId="34" borderId="19" xfId="0" applyFill="1" applyBorder="1" applyAlignment="1">
      <alignment/>
    </xf>
    <xf numFmtId="49" fontId="4" fillId="0" borderId="21" xfId="0" applyNumberFormat="1" applyFont="1" applyBorder="1" applyAlignment="1" applyProtection="1">
      <alignment/>
      <protection locked="0"/>
    </xf>
    <xf numFmtId="49" fontId="8" fillId="0" borderId="21" xfId="0" applyNumberFormat="1" applyFont="1" applyBorder="1" applyAlignment="1" applyProtection="1">
      <alignment horizontal="center"/>
      <protection locked="0"/>
    </xf>
    <xf numFmtId="165" fontId="4" fillId="0" borderId="21" xfId="0" applyNumberFormat="1" applyFont="1" applyBorder="1" applyAlignment="1" applyProtection="1">
      <alignment/>
      <protection locked="0"/>
    </xf>
    <xf numFmtId="165" fontId="4" fillId="0" borderId="21" xfId="0" applyNumberFormat="1" applyFont="1" applyBorder="1" applyAlignment="1" applyProtection="1">
      <alignment horizontal="center"/>
      <protection locked="0"/>
    </xf>
    <xf numFmtId="1" fontId="81" fillId="34" borderId="0" xfId="0" applyNumberFormat="1" applyFont="1" applyFill="1" applyAlignment="1">
      <alignment/>
    </xf>
    <xf numFmtId="49" fontId="4" fillId="34" borderId="19" xfId="0" applyNumberFormat="1" applyFont="1" applyFill="1" applyBorder="1" applyAlignment="1" applyProtection="1">
      <alignment horizontal="center"/>
      <protection locked="0"/>
    </xf>
    <xf numFmtId="0" fontId="4" fillId="34" borderId="10" xfId="0" applyFont="1" applyFill="1" applyBorder="1" applyAlignment="1">
      <alignment/>
    </xf>
    <xf numFmtId="0" fontId="9" fillId="0" borderId="30" xfId="0" applyFont="1" applyFill="1" applyBorder="1" applyAlignment="1">
      <alignment vertical="center"/>
    </xf>
    <xf numFmtId="0" fontId="4" fillId="33" borderId="32" xfId="0" applyFont="1" applyFill="1" applyBorder="1" applyAlignment="1">
      <alignment/>
    </xf>
    <xf numFmtId="0" fontId="9" fillId="0" borderId="11" xfId="0" applyFont="1" applyFill="1" applyBorder="1" applyAlignment="1">
      <alignment horizontal="left" vertical="center"/>
    </xf>
    <xf numFmtId="0" fontId="82" fillId="34" borderId="18" xfId="0" applyFont="1" applyFill="1" applyBorder="1" applyAlignment="1">
      <alignment/>
    </xf>
    <xf numFmtId="1" fontId="82" fillId="34" borderId="0" xfId="0" applyNumberFormat="1" applyFont="1" applyFill="1" applyAlignment="1">
      <alignment/>
    </xf>
    <xf numFmtId="0" fontId="4" fillId="0" borderId="11" xfId="0" applyFont="1" applyBorder="1" applyAlignment="1">
      <alignment/>
    </xf>
    <xf numFmtId="0" fontId="4" fillId="0" borderId="24" xfId="0" applyFont="1" applyBorder="1" applyAlignment="1">
      <alignment/>
    </xf>
    <xf numFmtId="0" fontId="4" fillId="34" borderId="11" xfId="0" applyFont="1" applyFill="1" applyBorder="1" applyAlignment="1">
      <alignment/>
    </xf>
    <xf numFmtId="0" fontId="4" fillId="34" borderId="12" xfId="0" applyFont="1" applyFill="1" applyBorder="1" applyAlignment="1">
      <alignment/>
    </xf>
    <xf numFmtId="0" fontId="4" fillId="34" borderId="25" xfId="0" applyFont="1" applyFill="1" applyBorder="1" applyAlignment="1">
      <alignment/>
    </xf>
    <xf numFmtId="0" fontId="4" fillId="34" borderId="33" xfId="0" applyFont="1" applyFill="1" applyBorder="1" applyAlignment="1">
      <alignment/>
    </xf>
    <xf numFmtId="0" fontId="81" fillId="34" borderId="25" xfId="0" applyFont="1" applyFill="1" applyBorder="1" applyAlignment="1">
      <alignment/>
    </xf>
    <xf numFmtId="0" fontId="4" fillId="34" borderId="0" xfId="0" applyFont="1" applyFill="1" applyBorder="1" applyAlignment="1">
      <alignment horizontal="right"/>
    </xf>
    <xf numFmtId="0" fontId="8" fillId="34" borderId="25" xfId="0" applyFont="1" applyFill="1" applyBorder="1" applyAlignment="1">
      <alignment horizontal="center"/>
    </xf>
    <xf numFmtId="0" fontId="8" fillId="34" borderId="0" xfId="0" applyFont="1" applyFill="1" applyBorder="1" applyAlignment="1">
      <alignment horizontal="center"/>
    </xf>
    <xf numFmtId="0" fontId="8" fillId="34" borderId="18" xfId="0" applyFont="1" applyFill="1" applyBorder="1" applyAlignment="1">
      <alignment/>
    </xf>
    <xf numFmtId="0" fontId="8" fillId="34" borderId="10" xfId="0" applyFont="1" applyFill="1" applyBorder="1" applyAlignment="1">
      <alignment horizontal="center"/>
    </xf>
    <xf numFmtId="0" fontId="8" fillId="34" borderId="11" xfId="0" applyFont="1" applyFill="1" applyBorder="1" applyAlignment="1">
      <alignment horizontal="center"/>
    </xf>
    <xf numFmtId="0" fontId="0" fillId="0" borderId="0" xfId="0" applyAlignment="1">
      <alignment/>
    </xf>
    <xf numFmtId="49" fontId="4" fillId="34" borderId="13" xfId="0" applyNumberFormat="1" applyFont="1" applyFill="1" applyBorder="1" applyAlignment="1">
      <alignment horizontal="center" vertical="center"/>
    </xf>
    <xf numFmtId="49" fontId="4" fillId="0" borderId="13" xfId="0" applyNumberFormat="1" applyFont="1" applyBorder="1" applyAlignment="1" applyProtection="1">
      <alignment horizontal="center" vertical="center"/>
      <protection locked="0"/>
    </xf>
    <xf numFmtId="0" fontId="8" fillId="34" borderId="34" xfId="0" applyFont="1" applyFill="1" applyBorder="1" applyAlignment="1" applyProtection="1">
      <alignment horizontal="center"/>
      <protection/>
    </xf>
    <xf numFmtId="49" fontId="4" fillId="0" borderId="18" xfId="0" applyNumberFormat="1" applyFont="1" applyBorder="1" applyAlignment="1" applyProtection="1">
      <alignment horizontal="center"/>
      <protection locked="0"/>
    </xf>
    <xf numFmtId="0" fontId="44" fillId="0" borderId="0" xfId="0" applyFont="1" applyAlignment="1">
      <alignment horizontal="center"/>
    </xf>
    <xf numFmtId="0" fontId="58" fillId="0" borderId="35" xfId="0" applyFont="1" applyFill="1" applyBorder="1" applyAlignment="1">
      <alignment horizontal="center"/>
    </xf>
    <xf numFmtId="165" fontId="4" fillId="34" borderId="18" xfId="0" applyNumberFormat="1" applyFont="1" applyFill="1" applyBorder="1" applyAlignment="1" applyProtection="1">
      <alignment horizontal="center"/>
      <protection/>
    </xf>
    <xf numFmtId="165" fontId="4" fillId="0" borderId="18" xfId="0" applyNumberFormat="1" applyFont="1" applyBorder="1" applyAlignment="1" applyProtection="1">
      <alignment horizontal="center"/>
      <protection locked="0"/>
    </xf>
    <xf numFmtId="165" fontId="4" fillId="0" borderId="19" xfId="0" applyNumberFormat="1" applyFont="1" applyBorder="1" applyAlignment="1" applyProtection="1">
      <alignment horizontal="center"/>
      <protection locked="0"/>
    </xf>
    <xf numFmtId="164" fontId="4" fillId="0" borderId="13" xfId="0" applyNumberFormat="1" applyFont="1" applyBorder="1" applyAlignment="1" applyProtection="1">
      <alignment horizontal="center"/>
      <protection locked="0"/>
    </xf>
    <xf numFmtId="0" fontId="4" fillId="34" borderId="18" xfId="0" applyNumberFormat="1" applyFont="1" applyFill="1" applyBorder="1" applyAlignment="1" applyProtection="1">
      <alignment horizontal="center"/>
      <protection/>
    </xf>
    <xf numFmtId="1" fontId="4" fillId="0" borderId="18" xfId="0" applyNumberFormat="1" applyFont="1" applyBorder="1" applyAlignment="1" applyProtection="1">
      <alignment horizontal="center"/>
      <protection locked="0"/>
    </xf>
    <xf numFmtId="1" fontId="4" fillId="0" borderId="19" xfId="0" applyNumberFormat="1" applyFont="1" applyBorder="1" applyAlignment="1" applyProtection="1">
      <alignment horizontal="center"/>
      <protection locked="0"/>
    </xf>
    <xf numFmtId="1" fontId="4" fillId="34" borderId="18" xfId="0" applyNumberFormat="1" applyFont="1" applyFill="1" applyBorder="1" applyAlignment="1" applyProtection="1">
      <alignment horizontal="center"/>
      <protection/>
    </xf>
    <xf numFmtId="49" fontId="2" fillId="0" borderId="0" xfId="57" applyNumberFormat="1">
      <alignment/>
      <protection/>
    </xf>
    <xf numFmtId="49" fontId="2" fillId="0" borderId="0" xfId="57" applyNumberFormat="1" applyAlignment="1">
      <alignment vertical="top" wrapText="1"/>
      <protection/>
    </xf>
    <xf numFmtId="0" fontId="2" fillId="0" borderId="0" xfId="57" applyNumberFormat="1">
      <alignment/>
      <protection/>
    </xf>
    <xf numFmtId="0" fontId="4" fillId="33" borderId="24" xfId="0" applyFont="1" applyFill="1" applyBorder="1" applyAlignment="1">
      <alignment horizontal="center"/>
    </xf>
    <xf numFmtId="0" fontId="44" fillId="0" borderId="24" xfId="0" applyFont="1" applyBorder="1" applyAlignment="1">
      <alignment horizontal="center"/>
    </xf>
    <xf numFmtId="1" fontId="75" fillId="0" borderId="0" xfId="0" applyNumberFormat="1" applyFont="1" applyBorder="1" applyAlignment="1">
      <alignment horizontal="center"/>
    </xf>
    <xf numFmtId="0" fontId="75" fillId="0" borderId="0" xfId="0" applyFont="1" applyBorder="1" applyAlignment="1">
      <alignment horizontal="center"/>
    </xf>
    <xf numFmtId="164" fontId="4" fillId="34" borderId="19" xfId="0" applyNumberFormat="1" applyFont="1" applyFill="1" applyBorder="1" applyAlignment="1" applyProtection="1">
      <alignment horizontal="center"/>
      <protection/>
    </xf>
    <xf numFmtId="0" fontId="4" fillId="0" borderId="18" xfId="0" applyNumberFormat="1" applyFont="1" applyBorder="1" applyAlignment="1" applyProtection="1">
      <alignment horizontal="center"/>
      <protection locked="0"/>
    </xf>
    <xf numFmtId="0" fontId="4" fillId="0" borderId="19" xfId="0" applyNumberFormat="1" applyFont="1" applyBorder="1" applyAlignment="1" applyProtection="1">
      <alignment horizontal="center"/>
      <protection locked="0"/>
    </xf>
    <xf numFmtId="164" fontId="4" fillId="34" borderId="13" xfId="0" applyNumberFormat="1" applyFont="1" applyFill="1" applyBorder="1" applyAlignment="1" applyProtection="1">
      <alignment horizontal="center"/>
      <protection/>
    </xf>
    <xf numFmtId="49" fontId="2" fillId="0" borderId="0" xfId="57" applyNumberFormat="1" applyFont="1">
      <alignment/>
      <protection/>
    </xf>
    <xf numFmtId="49" fontId="83" fillId="0" borderId="0" xfId="57" applyNumberFormat="1" applyFont="1">
      <alignment/>
      <protection/>
    </xf>
    <xf numFmtId="0" fontId="83" fillId="0" borderId="0" xfId="57" applyNumberFormat="1" applyFont="1">
      <alignment/>
      <protection/>
    </xf>
    <xf numFmtId="0" fontId="44" fillId="0" borderId="0" xfId="0" applyFont="1" applyBorder="1" applyAlignment="1">
      <alignment horizontal="center"/>
    </xf>
    <xf numFmtId="0" fontId="4" fillId="33" borderId="0" xfId="0" applyFont="1" applyFill="1" applyBorder="1" applyAlignment="1">
      <alignment horizontal="right"/>
    </xf>
    <xf numFmtId="0" fontId="4" fillId="34" borderId="19" xfId="0" applyFont="1" applyFill="1" applyBorder="1" applyAlignment="1">
      <alignment horizontal="center"/>
    </xf>
    <xf numFmtId="178" fontId="8" fillId="33" borderId="0" xfId="0" applyNumberFormat="1" applyFont="1" applyFill="1" applyBorder="1" applyAlignment="1" applyProtection="1">
      <alignment horizontal="center"/>
      <protection locked="0"/>
    </xf>
    <xf numFmtId="49" fontId="2" fillId="0" borderId="0" xfId="57" applyNumberFormat="1" applyFont="1" applyFill="1">
      <alignment/>
      <protection/>
    </xf>
    <xf numFmtId="49" fontId="2" fillId="0" borderId="0" xfId="57" applyNumberFormat="1" applyFont="1" applyFill="1" applyBorder="1" applyAlignment="1">
      <alignment vertical="top" wrapText="1"/>
      <protection/>
    </xf>
    <xf numFmtId="49" fontId="2" fillId="0" borderId="0" xfId="57" applyNumberFormat="1" applyFont="1" applyFill="1" applyBorder="1">
      <alignment/>
      <protection/>
    </xf>
    <xf numFmtId="49" fontId="2" fillId="0" borderId="0" xfId="57" applyNumberFormat="1" applyFont="1" applyFill="1" applyAlignment="1">
      <alignment vertical="top" wrapText="1"/>
      <protection/>
    </xf>
    <xf numFmtId="1" fontId="4" fillId="0" borderId="13" xfId="0" applyNumberFormat="1" applyFont="1" applyBorder="1" applyAlignment="1" applyProtection="1">
      <alignment horizontal="center"/>
      <protection locked="0"/>
    </xf>
    <xf numFmtId="0" fontId="4" fillId="33" borderId="0" xfId="0" applyFont="1" applyFill="1" applyBorder="1" applyAlignment="1">
      <alignment/>
    </xf>
    <xf numFmtId="0" fontId="44" fillId="0" borderId="0" xfId="0" applyFont="1" applyBorder="1" applyAlignment="1">
      <alignment/>
    </xf>
    <xf numFmtId="0" fontId="4" fillId="0" borderId="0" xfId="0" applyFont="1" applyFill="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0" fontId="2" fillId="0" borderId="0" xfId="57" applyNumberFormat="1" applyFont="1" applyFill="1" applyBorder="1">
      <alignment/>
      <protection/>
    </xf>
    <xf numFmtId="0" fontId="2" fillId="0" borderId="0" xfId="57" applyNumberFormat="1" applyFont="1" applyAlignment="1">
      <alignment vertical="center" wrapText="1"/>
      <protection/>
    </xf>
    <xf numFmtId="49" fontId="2" fillId="0" borderId="0" xfId="57" applyNumberFormat="1" applyAlignment="1">
      <alignment vertical="center" wrapText="1"/>
      <protection/>
    </xf>
    <xf numFmtId="0" fontId="4" fillId="33" borderId="24" xfId="0" applyFont="1" applyFill="1" applyBorder="1" applyAlignment="1">
      <alignment/>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0" fillId="0" borderId="0" xfId="0" applyBorder="1" applyAlignment="1">
      <alignment/>
    </xf>
    <xf numFmtId="0" fontId="4" fillId="0" borderId="24" xfId="0" applyFont="1" applyBorder="1" applyAlignment="1">
      <alignment horizontal="right"/>
    </xf>
    <xf numFmtId="165" fontId="4" fillId="34" borderId="18" xfId="0" applyNumberFormat="1" applyFont="1" applyFill="1" applyBorder="1" applyAlignment="1" applyProtection="1">
      <alignment horizontal="center"/>
      <protection/>
    </xf>
    <xf numFmtId="165" fontId="4" fillId="34" borderId="19" xfId="0" applyNumberFormat="1" applyFont="1" applyFill="1" applyBorder="1" applyAlignment="1" applyProtection="1">
      <alignment horizontal="center"/>
      <protection/>
    </xf>
    <xf numFmtId="0" fontId="58" fillId="0" borderId="0" xfId="0" applyFont="1" applyBorder="1" applyAlignment="1" applyProtection="1">
      <alignment horizontal="center"/>
      <protection locked="0"/>
    </xf>
    <xf numFmtId="0" fontId="58" fillId="0" borderId="24" xfId="0" applyFont="1" applyBorder="1" applyAlignment="1" applyProtection="1">
      <alignment horizontal="center"/>
      <protection locked="0"/>
    </xf>
    <xf numFmtId="0" fontId="84" fillId="33" borderId="24" xfId="0" applyFont="1" applyFill="1" applyBorder="1" applyAlignment="1" applyProtection="1">
      <alignment horizontal="center"/>
      <protection locked="0"/>
    </xf>
    <xf numFmtId="0" fontId="4" fillId="34" borderId="18" xfId="0" applyFont="1" applyFill="1" applyBorder="1" applyAlignment="1" applyProtection="1">
      <alignment/>
      <protection/>
    </xf>
    <xf numFmtId="0" fontId="4" fillId="34" borderId="21" xfId="0" applyFont="1" applyFill="1" applyBorder="1" applyAlignment="1" applyProtection="1">
      <alignment/>
      <protection/>
    </xf>
    <xf numFmtId="0" fontId="4" fillId="34" borderId="19" xfId="0" applyFont="1" applyFill="1" applyBorder="1" applyAlignment="1" applyProtection="1">
      <alignment/>
      <protection/>
    </xf>
    <xf numFmtId="0" fontId="4" fillId="34" borderId="23" xfId="0" applyFont="1" applyFill="1" applyBorder="1" applyAlignment="1" applyProtection="1">
      <alignment/>
      <protection/>
    </xf>
    <xf numFmtId="0" fontId="4" fillId="34" borderId="24" xfId="0" applyFont="1" applyFill="1" applyBorder="1" applyAlignment="1" applyProtection="1">
      <alignment/>
      <protection/>
    </xf>
    <xf numFmtId="49" fontId="77" fillId="34" borderId="18" xfId="0" applyNumberFormat="1" applyFont="1" applyFill="1" applyBorder="1" applyAlignment="1" applyProtection="1">
      <alignment horizontal="center"/>
      <protection/>
    </xf>
    <xf numFmtId="49" fontId="77" fillId="34" borderId="19" xfId="0" applyNumberFormat="1" applyFont="1" applyFill="1" applyBorder="1" applyAlignment="1" applyProtection="1">
      <alignment horizontal="center"/>
      <protection/>
    </xf>
    <xf numFmtId="0" fontId="4" fillId="34" borderId="10" xfId="0" applyFont="1" applyFill="1" applyBorder="1" applyAlignment="1" applyProtection="1">
      <alignment/>
      <protection/>
    </xf>
    <xf numFmtId="0" fontId="4" fillId="34" borderId="11" xfId="0" applyFont="1" applyFill="1" applyBorder="1" applyAlignment="1" applyProtection="1">
      <alignment/>
      <protection/>
    </xf>
    <xf numFmtId="0" fontId="4" fillId="34" borderId="25" xfId="0" applyFont="1" applyFill="1" applyBorder="1" applyAlignment="1" applyProtection="1">
      <alignment/>
      <protection/>
    </xf>
    <xf numFmtId="0" fontId="4" fillId="34" borderId="0" xfId="0" applyFont="1" applyFill="1" applyBorder="1" applyAlignment="1" applyProtection="1">
      <alignment/>
      <protection/>
    </xf>
    <xf numFmtId="0" fontId="4" fillId="34" borderId="33" xfId="0" applyFont="1" applyFill="1" applyBorder="1" applyAlignment="1" applyProtection="1">
      <alignment/>
      <protection/>
    </xf>
    <xf numFmtId="0" fontId="4" fillId="34" borderId="26" xfId="0" applyFont="1" applyFill="1" applyBorder="1" applyAlignment="1" applyProtection="1">
      <alignment/>
      <protection/>
    </xf>
    <xf numFmtId="0" fontId="81" fillId="34" borderId="10" xfId="0" applyFont="1" applyFill="1" applyBorder="1" applyAlignment="1" applyProtection="1">
      <alignment/>
      <protection/>
    </xf>
    <xf numFmtId="1" fontId="81" fillId="34" borderId="0" xfId="0" applyNumberFormat="1" applyFont="1" applyFill="1" applyAlignment="1" applyProtection="1">
      <alignment/>
      <protection/>
    </xf>
    <xf numFmtId="0" fontId="4" fillId="34" borderId="11" xfId="0" applyFont="1" applyFill="1" applyBorder="1" applyAlignment="1" applyProtection="1">
      <alignment horizontal="right"/>
      <protection/>
    </xf>
    <xf numFmtId="0" fontId="4" fillId="34" borderId="13"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34" borderId="13" xfId="0" applyNumberFormat="1" applyFont="1" applyFill="1" applyBorder="1" applyAlignment="1" applyProtection="1">
      <alignment horizontal="center"/>
      <protection/>
    </xf>
    <xf numFmtId="0" fontId="4" fillId="34" borderId="19" xfId="0" applyNumberFormat="1" applyFont="1" applyFill="1" applyBorder="1" applyAlignment="1" applyProtection="1">
      <alignment horizontal="center"/>
      <protection/>
    </xf>
    <xf numFmtId="49" fontId="4" fillId="0" borderId="13" xfId="0" applyNumberFormat="1" applyFont="1" applyBorder="1" applyAlignment="1" applyProtection="1">
      <alignment horizontal="center"/>
      <protection/>
    </xf>
    <xf numFmtId="0" fontId="4" fillId="0" borderId="0" xfId="0" applyFont="1" applyAlignment="1" applyProtection="1">
      <alignment/>
      <protection/>
    </xf>
    <xf numFmtId="0" fontId="2" fillId="33" borderId="0" xfId="0" applyFont="1" applyFill="1" applyAlignment="1" applyProtection="1">
      <alignment/>
      <protection/>
    </xf>
    <xf numFmtId="0" fontId="0" fillId="0" borderId="0" xfId="0"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protection/>
    </xf>
    <xf numFmtId="0" fontId="5" fillId="33" borderId="0" xfId="0" applyFont="1" applyFill="1" applyAlignment="1" applyProtection="1">
      <alignment horizontal="center" vertical="top"/>
      <protection/>
    </xf>
    <xf numFmtId="0" fontId="4" fillId="33" borderId="0" xfId="0" applyFont="1" applyFill="1" applyAlignment="1" applyProtection="1">
      <alignment horizontal="left" vertical="top"/>
      <protection/>
    </xf>
    <xf numFmtId="0" fontId="4" fillId="33" borderId="0" xfId="0" applyFont="1" applyFill="1" applyAlignment="1" applyProtection="1">
      <alignment/>
      <protection/>
    </xf>
    <xf numFmtId="0" fontId="5" fillId="33" borderId="10" xfId="0" applyFont="1" applyFill="1" applyBorder="1" applyAlignment="1" applyProtection="1">
      <alignment vertical="top"/>
      <protection/>
    </xf>
    <xf numFmtId="0" fontId="4" fillId="33" borderId="11" xfId="0" applyFont="1" applyFill="1" applyBorder="1" applyAlignment="1" applyProtection="1">
      <alignment/>
      <protection/>
    </xf>
    <xf numFmtId="0" fontId="4" fillId="33" borderId="12" xfId="0" applyFont="1" applyFill="1" applyBorder="1" applyAlignment="1" applyProtection="1">
      <alignment/>
      <protection/>
    </xf>
    <xf numFmtId="0" fontId="6" fillId="33" borderId="0" xfId="0" applyFont="1" applyFill="1" applyAlignment="1" applyProtection="1">
      <alignment/>
      <protection/>
    </xf>
    <xf numFmtId="49" fontId="4" fillId="34" borderId="13" xfId="0" applyNumberFormat="1" applyFont="1" applyFill="1" applyBorder="1" applyAlignment="1" applyProtection="1">
      <alignment horizontal="center" vertical="center"/>
      <protection/>
    </xf>
    <xf numFmtId="0" fontId="4" fillId="34" borderId="13" xfId="0" applyNumberFormat="1" applyFont="1" applyFill="1" applyBorder="1" applyAlignment="1" applyProtection="1">
      <alignment horizontal="center" vertical="center"/>
      <protection/>
    </xf>
    <xf numFmtId="49" fontId="4" fillId="34" borderId="0" xfId="0" applyNumberFormat="1" applyFont="1" applyFill="1" applyAlignment="1" applyProtection="1">
      <alignment horizontal="center"/>
      <protection/>
    </xf>
    <xf numFmtId="1" fontId="4" fillId="34" borderId="13" xfId="0" applyNumberFormat="1" applyFont="1" applyFill="1" applyBorder="1" applyAlignment="1" applyProtection="1">
      <alignment horizontal="center" vertical="center"/>
      <protection/>
    </xf>
    <xf numFmtId="0" fontId="4" fillId="33" borderId="0" xfId="0" applyFont="1" applyFill="1" applyAlignment="1" applyProtection="1">
      <alignment vertical="center"/>
      <protection/>
    </xf>
    <xf numFmtId="0" fontId="7" fillId="33" borderId="0" xfId="0" applyFont="1" applyFill="1" applyAlignment="1" applyProtection="1">
      <alignment/>
      <protection/>
    </xf>
    <xf numFmtId="0" fontId="4" fillId="0" borderId="0" xfId="0" applyFont="1" applyBorder="1" applyAlignment="1" applyProtection="1">
      <alignment/>
      <protection/>
    </xf>
    <xf numFmtId="0" fontId="4" fillId="33" borderId="24" xfId="0" applyFont="1" applyFill="1" applyBorder="1" applyAlignment="1" applyProtection="1">
      <alignment/>
      <protection/>
    </xf>
    <xf numFmtId="0" fontId="4" fillId="33" borderId="36" xfId="0" applyFont="1" applyFill="1" applyBorder="1" applyAlignment="1" applyProtection="1">
      <alignment/>
      <protection/>
    </xf>
    <xf numFmtId="49" fontId="2" fillId="0" borderId="0" xfId="57" applyNumberFormat="1" applyFont="1" applyAlignment="1" applyProtection="1">
      <alignment vertical="top" wrapText="1"/>
      <protection/>
    </xf>
    <xf numFmtId="0" fontId="2" fillId="0" borderId="0" xfId="57" applyNumberFormat="1" applyFont="1" applyAlignment="1" applyProtection="1">
      <alignment vertical="top" wrapText="1"/>
      <protection/>
    </xf>
    <xf numFmtId="49" fontId="2" fillId="0" borderId="0" xfId="57" applyNumberFormat="1" applyFont="1" applyAlignment="1" applyProtection="1">
      <alignment vertical="top" wrapText="1"/>
      <protection/>
    </xf>
    <xf numFmtId="0" fontId="2" fillId="0" borderId="0" xfId="57" applyNumberFormat="1" applyFont="1" applyAlignment="1" applyProtection="1">
      <alignment vertical="top" wrapText="1"/>
      <protection/>
    </xf>
    <xf numFmtId="0" fontId="2" fillId="0" borderId="0" xfId="57" applyNumberFormat="1" applyFont="1" applyFill="1" applyAlignment="1" applyProtection="1">
      <alignment vertical="center" wrapText="1"/>
      <protection/>
    </xf>
    <xf numFmtId="0" fontId="2" fillId="0" borderId="0" xfId="0" applyNumberFormat="1" applyFont="1" applyFill="1" applyBorder="1" applyAlignment="1" applyProtection="1" quotePrefix="1">
      <alignment vertical="center"/>
      <protection/>
    </xf>
    <xf numFmtId="0" fontId="2" fillId="0" borderId="0" xfId="0" applyNumberFormat="1" applyFont="1" applyFill="1" applyBorder="1" applyAlignment="1" applyProtection="1" quotePrefix="1">
      <alignment horizontal="center" vertical="center"/>
      <protection/>
    </xf>
    <xf numFmtId="0" fontId="2" fillId="0" borderId="0" xfId="0" applyNumberFormat="1" applyFont="1" applyFill="1" applyBorder="1" applyAlignment="1" applyProtection="1" quotePrefix="1">
      <alignment horizontal="center" vertical="center"/>
      <protection/>
    </xf>
    <xf numFmtId="49" fontId="2" fillId="0" borderId="0" xfId="57" applyNumberFormat="1" applyFont="1" applyAlignment="1" applyProtection="1">
      <alignment vertical="center" wrapText="1"/>
      <protection/>
    </xf>
    <xf numFmtId="0" fontId="2" fillId="0" borderId="0" xfId="57" applyNumberFormat="1" applyFont="1" applyAlignment="1" applyProtection="1">
      <alignment vertical="center" wrapText="1"/>
      <protection/>
    </xf>
    <xf numFmtId="0" fontId="2" fillId="0" borderId="0" xfId="57" applyNumberFormat="1" applyFont="1" applyBorder="1" applyAlignment="1" applyProtection="1">
      <alignment vertical="center" wrapText="1"/>
      <protection/>
    </xf>
    <xf numFmtId="0" fontId="2" fillId="0" borderId="0" xfId="57" applyNumberFormat="1" applyFont="1" applyFill="1" applyAlignment="1" applyProtection="1">
      <alignment horizontal="left" vertical="center" wrapText="1"/>
      <protection/>
    </xf>
    <xf numFmtId="0" fontId="2" fillId="0" borderId="0" xfId="0" applyNumberFormat="1" applyFont="1" applyFill="1" applyBorder="1" applyAlignment="1" applyProtection="1" quotePrefix="1">
      <alignment vertical="center"/>
      <protection/>
    </xf>
    <xf numFmtId="165" fontId="2" fillId="0" borderId="0" xfId="0" applyNumberFormat="1" applyFont="1" applyFill="1" applyBorder="1" applyAlignment="1" applyProtection="1" quotePrefix="1">
      <alignment horizontal="center" vertical="center"/>
      <protection/>
    </xf>
    <xf numFmtId="0" fontId="2" fillId="0" borderId="0" xfId="57" applyNumberFormat="1" applyFont="1" applyFill="1" applyAlignment="1" applyProtection="1">
      <alignment horizontal="center" vertical="top" wrapText="1"/>
      <protection/>
    </xf>
    <xf numFmtId="0" fontId="2" fillId="0" borderId="0" xfId="57" applyNumberFormat="1" applyFont="1" applyFill="1" applyBorder="1" applyAlignment="1" applyProtection="1" quotePrefix="1">
      <alignment horizontal="center"/>
      <protection/>
    </xf>
    <xf numFmtId="0" fontId="2" fillId="0" borderId="0" xfId="57" applyNumberFormat="1" applyFont="1" applyFill="1" applyAlignment="1" applyProtection="1" quotePrefix="1">
      <alignment horizontal="center"/>
      <protection/>
    </xf>
    <xf numFmtId="1" fontId="2" fillId="0" borderId="0" xfId="57" applyNumberFormat="1" applyFont="1" applyFill="1" applyBorder="1" applyAlignment="1" applyProtection="1" quotePrefix="1">
      <alignment horizontal="center"/>
      <protection/>
    </xf>
    <xf numFmtId="0" fontId="2" fillId="0" borderId="0" xfId="57" applyNumberFormat="1" applyFont="1" applyFill="1" applyAlignment="1" applyProtection="1">
      <alignment vertical="top" wrapText="1"/>
      <protection/>
    </xf>
    <xf numFmtId="183" fontId="2" fillId="0" borderId="0" xfId="0" applyNumberFormat="1" applyFont="1" applyFill="1" applyBorder="1" applyAlignment="1" applyProtection="1" quotePrefix="1">
      <alignment horizontal="center" vertical="center"/>
      <protection/>
    </xf>
    <xf numFmtId="0" fontId="2" fillId="0" borderId="0" xfId="57" applyNumberFormat="1" applyFont="1" applyFill="1" applyAlignment="1" applyProtection="1">
      <alignment vertical="top" wrapText="1"/>
      <protection/>
    </xf>
    <xf numFmtId="183" fontId="2" fillId="0" borderId="0" xfId="0" applyNumberFormat="1" applyFont="1" applyFill="1" applyBorder="1" applyAlignment="1" applyProtection="1" quotePrefix="1">
      <alignment horizontal="center" vertical="center"/>
      <protection/>
    </xf>
    <xf numFmtId="165" fontId="2" fillId="0" borderId="0" xfId="0" applyNumberFormat="1" applyFont="1" applyFill="1" applyBorder="1" applyAlignment="1" applyProtection="1" quotePrefix="1">
      <alignment horizontal="center" vertical="center"/>
      <protection/>
    </xf>
    <xf numFmtId="0" fontId="2" fillId="0" borderId="0" xfId="57" applyNumberFormat="1" applyFont="1" applyFill="1" applyAlignment="1" applyProtection="1">
      <alignment horizontal="center" vertical="top" wrapText="1"/>
      <protection/>
    </xf>
    <xf numFmtId="0" fontId="2" fillId="0" borderId="0" xfId="57" applyNumberFormat="1" applyFont="1" applyFill="1" applyBorder="1" applyAlignment="1" applyProtection="1" quotePrefix="1">
      <alignment horizontal="center"/>
      <protection/>
    </xf>
    <xf numFmtId="0" fontId="85" fillId="0" borderId="0" xfId="57" applyNumberFormat="1" applyFont="1" applyFill="1" applyBorder="1" applyAlignment="1" applyProtection="1" quotePrefix="1">
      <alignment horizontal="center"/>
      <protection/>
    </xf>
    <xf numFmtId="1" fontId="83" fillId="0" borderId="0" xfId="57" applyNumberFormat="1" applyFont="1" applyFill="1" applyBorder="1" applyAlignment="1" applyProtection="1" quotePrefix="1">
      <alignment horizontal="center"/>
      <protection/>
    </xf>
    <xf numFmtId="0" fontId="2" fillId="0" borderId="0" xfId="57" applyNumberFormat="1" applyFont="1" applyFill="1" applyAlignment="1" applyProtection="1">
      <alignment vertical="top" wrapText="1"/>
      <protection locked="0"/>
    </xf>
    <xf numFmtId="0" fontId="2" fillId="0" borderId="0" xfId="57" applyNumberFormat="1" applyFont="1" applyFill="1" applyProtection="1">
      <alignment/>
      <protection locked="0"/>
    </xf>
    <xf numFmtId="0" fontId="2" fillId="0" borderId="0" xfId="57" applyNumberFormat="1" applyFont="1" applyFill="1" applyBorder="1" applyAlignment="1" applyProtection="1">
      <alignment vertical="top" wrapText="1"/>
      <protection locked="0"/>
    </xf>
    <xf numFmtId="0" fontId="2" fillId="0" borderId="0" xfId="57" applyNumberFormat="1" applyFont="1" applyFill="1" applyBorder="1" applyProtection="1">
      <alignment/>
      <protection locked="0"/>
    </xf>
    <xf numFmtId="0" fontId="86" fillId="0" borderId="37" xfId="53" applyFont="1" applyBorder="1" applyAlignment="1" applyProtection="1">
      <alignment vertical="top" wrapText="1"/>
      <protection locked="0"/>
    </xf>
    <xf numFmtId="0" fontId="87" fillId="0" borderId="37" xfId="53" applyFont="1" applyBorder="1" applyAlignment="1" applyProtection="1">
      <alignment vertical="center" wrapText="1"/>
      <protection locked="0"/>
    </xf>
    <xf numFmtId="1" fontId="58" fillId="0" borderId="38" xfId="0" applyNumberFormat="1" applyFont="1" applyBorder="1" applyAlignment="1">
      <alignment horizontal="center"/>
    </xf>
    <xf numFmtId="0" fontId="44" fillId="0" borderId="38" xfId="0" applyFont="1" applyBorder="1" applyAlignment="1">
      <alignment horizontal="center"/>
    </xf>
    <xf numFmtId="0" fontId="58" fillId="0" borderId="38" xfId="0" applyFont="1" applyBorder="1" applyAlignment="1">
      <alignment/>
    </xf>
    <xf numFmtId="164" fontId="4" fillId="34" borderId="19"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1" fontId="4" fillId="0" borderId="12" xfId="0" applyNumberFormat="1" applyFont="1" applyBorder="1" applyAlignment="1" applyProtection="1">
      <alignment horizontal="center"/>
      <protection locked="0"/>
    </xf>
    <xf numFmtId="0" fontId="4" fillId="34" borderId="19" xfId="0" applyNumberFormat="1" applyFont="1" applyFill="1" applyBorder="1" applyAlignment="1" applyProtection="1">
      <alignment horizontal="center"/>
      <protection/>
    </xf>
    <xf numFmtId="164" fontId="84" fillId="0" borderId="38" xfId="0" applyNumberFormat="1" applyFont="1" applyFill="1" applyBorder="1" applyAlignment="1" applyProtection="1">
      <alignment horizontal="center"/>
      <protection/>
    </xf>
    <xf numFmtId="0" fontId="58" fillId="0" borderId="35" xfId="0" applyFont="1" applyBorder="1" applyAlignment="1">
      <alignment/>
    </xf>
    <xf numFmtId="1" fontId="4" fillId="35" borderId="13" xfId="0" applyNumberFormat="1" applyFont="1" applyFill="1" applyBorder="1" applyAlignment="1" applyProtection="1">
      <alignment horizontal="center"/>
      <protection locked="0"/>
    </xf>
    <xf numFmtId="0" fontId="0" fillId="0" borderId="0" xfId="0" applyAlignment="1">
      <alignment vertical="center"/>
    </xf>
    <xf numFmtId="0" fontId="82" fillId="33" borderId="0" xfId="0" applyFont="1" applyFill="1" applyAlignment="1">
      <alignment/>
    </xf>
    <xf numFmtId="0" fontId="88" fillId="0" borderId="0" xfId="0" applyFont="1" applyAlignment="1">
      <alignment vertical="center"/>
    </xf>
    <xf numFmtId="0" fontId="2" fillId="0" borderId="0" xfId="57" applyProtection="1">
      <alignment/>
      <protection/>
    </xf>
    <xf numFmtId="0" fontId="83" fillId="0" borderId="0" xfId="57" applyFont="1" applyProtection="1">
      <alignment/>
      <protection/>
    </xf>
    <xf numFmtId="0" fontId="2" fillId="0" borderId="37" xfId="57" applyBorder="1" applyProtection="1">
      <alignment/>
      <protection/>
    </xf>
    <xf numFmtId="0" fontId="89" fillId="0" borderId="37" xfId="0" applyFont="1" applyBorder="1" applyAlignment="1" applyProtection="1">
      <alignment vertical="top" wrapText="1"/>
      <protection/>
    </xf>
    <xf numFmtId="0" fontId="13" fillId="0" borderId="37" xfId="57" applyFont="1" applyBorder="1" applyAlignment="1" applyProtection="1">
      <alignment vertical="top" wrapText="1"/>
      <protection/>
    </xf>
    <xf numFmtId="0" fontId="20" fillId="0" borderId="37" xfId="57" applyFont="1" applyBorder="1" applyAlignment="1" applyProtection="1">
      <alignment vertical="top" wrapText="1"/>
      <protection/>
    </xf>
    <xf numFmtId="0" fontId="12" fillId="0" borderId="37" xfId="57" applyFont="1" applyBorder="1" applyAlignment="1" applyProtection="1">
      <alignment vertical="top" wrapText="1"/>
      <protection/>
    </xf>
    <xf numFmtId="0" fontId="89" fillId="0" borderId="37" xfId="57" applyFont="1" applyBorder="1" applyAlignment="1" applyProtection="1">
      <alignment horizontal="left" vertical="top" wrapText="1" indent="1"/>
      <protection/>
    </xf>
    <xf numFmtId="0" fontId="13" fillId="0" borderId="37" xfId="57" applyFont="1" applyBorder="1" applyAlignment="1" applyProtection="1">
      <alignment horizontal="left" vertical="top" wrapText="1" indent="2"/>
      <protection/>
    </xf>
    <xf numFmtId="0" fontId="13" fillId="0" borderId="39" xfId="57" applyFont="1" applyBorder="1" applyAlignment="1" applyProtection="1">
      <alignment horizontal="right"/>
      <protection/>
    </xf>
    <xf numFmtId="0" fontId="13" fillId="0" borderId="40" xfId="57" applyFont="1" applyBorder="1" applyAlignment="1" applyProtection="1">
      <alignment vertical="top" wrapText="1"/>
      <protection/>
    </xf>
    <xf numFmtId="0" fontId="12" fillId="0" borderId="37" xfId="57" applyFont="1" applyBorder="1" applyAlignment="1" applyProtection="1">
      <alignment horizontal="center" vertical="center" wrapText="1"/>
      <protection/>
    </xf>
    <xf numFmtId="0" fontId="58" fillId="0" borderId="0" xfId="0" applyFont="1" applyBorder="1" applyAlignment="1" applyProtection="1">
      <alignment/>
      <protection/>
    </xf>
    <xf numFmtId="0" fontId="58" fillId="0" borderId="0" xfId="0" applyFont="1" applyBorder="1" applyAlignment="1" applyProtection="1" quotePrefix="1">
      <alignment/>
      <protection/>
    </xf>
    <xf numFmtId="0" fontId="58" fillId="0" borderId="0" xfId="0" applyFont="1" applyFill="1" applyBorder="1" applyAlignment="1" applyProtection="1">
      <alignment/>
      <protection/>
    </xf>
    <xf numFmtId="0" fontId="88" fillId="0" borderId="0" xfId="0" applyFont="1" applyAlignment="1" applyProtection="1">
      <alignment vertical="center"/>
      <protection/>
    </xf>
    <xf numFmtId="0" fontId="82" fillId="33" borderId="0" xfId="0" applyFont="1" applyFill="1" applyAlignment="1" applyProtection="1">
      <alignment/>
      <protection/>
    </xf>
    <xf numFmtId="0" fontId="76" fillId="0" borderId="0" xfId="0" applyFont="1" applyAlignment="1" applyProtection="1">
      <alignment/>
      <protection/>
    </xf>
    <xf numFmtId="0" fontId="75" fillId="0" borderId="0" xfId="0" applyFont="1" applyAlignment="1" applyProtection="1">
      <alignment/>
      <protection/>
    </xf>
    <xf numFmtId="49" fontId="77" fillId="34" borderId="0" xfId="0" applyNumberFormat="1" applyFont="1" applyFill="1" applyBorder="1" applyAlignment="1" applyProtection="1">
      <alignment horizontal="left"/>
      <protection/>
    </xf>
    <xf numFmtId="49" fontId="77" fillId="34" borderId="11" xfId="0" applyNumberFormat="1" applyFont="1" applyFill="1" applyBorder="1" applyAlignment="1" applyProtection="1">
      <alignment horizontal="left"/>
      <protection/>
    </xf>
    <xf numFmtId="49" fontId="77" fillId="34" borderId="33" xfId="0" applyNumberFormat="1" applyFont="1" applyFill="1" applyBorder="1" applyAlignment="1" applyProtection="1">
      <alignment horizontal="left"/>
      <protection/>
    </xf>
    <xf numFmtId="49" fontId="77" fillId="34" borderId="0" xfId="0" applyNumberFormat="1" applyFont="1" applyFill="1" applyBorder="1" applyAlignment="1" applyProtection="1">
      <alignment/>
      <protection/>
    </xf>
    <xf numFmtId="49" fontId="77" fillId="34" borderId="33" xfId="0" applyNumberFormat="1" applyFont="1" applyFill="1" applyBorder="1" applyAlignment="1" applyProtection="1">
      <alignment/>
      <protection/>
    </xf>
    <xf numFmtId="49" fontId="77" fillId="34" borderId="24" xfId="0" applyNumberFormat="1" applyFont="1" applyFill="1" applyBorder="1" applyAlignment="1" applyProtection="1">
      <alignment/>
      <protection/>
    </xf>
    <xf numFmtId="49" fontId="77" fillId="34" borderId="23" xfId="0" applyNumberFormat="1" applyFont="1" applyFill="1" applyBorder="1" applyAlignment="1" applyProtection="1">
      <alignment horizontal="center"/>
      <protection/>
    </xf>
    <xf numFmtId="49" fontId="77" fillId="34" borderId="21" xfId="0" applyNumberFormat="1" applyFont="1" applyFill="1" applyBorder="1" applyAlignment="1" applyProtection="1">
      <alignment horizontal="center"/>
      <protection/>
    </xf>
    <xf numFmtId="49" fontId="77" fillId="34" borderId="24" xfId="0" applyNumberFormat="1" applyFont="1" applyFill="1" applyBorder="1" applyAlignment="1" applyProtection="1">
      <alignment horizontal="center"/>
      <protection/>
    </xf>
    <xf numFmtId="49" fontId="77" fillId="34" borderId="24" xfId="0" applyNumberFormat="1" applyFont="1" applyFill="1" applyBorder="1" applyAlignment="1" applyProtection="1">
      <alignment horizontal="left"/>
      <protection/>
    </xf>
    <xf numFmtId="49" fontId="77" fillId="34" borderId="21" xfId="0" applyNumberFormat="1" applyFont="1" applyFill="1" applyBorder="1" applyAlignment="1" applyProtection="1">
      <alignment horizontal="left"/>
      <protection/>
    </xf>
    <xf numFmtId="49" fontId="77" fillId="34" borderId="18" xfId="0" applyNumberFormat="1" applyFont="1" applyFill="1" applyBorder="1" applyAlignment="1" applyProtection="1">
      <alignment/>
      <protection/>
    </xf>
    <xf numFmtId="49" fontId="77" fillId="34" borderId="21" xfId="0" applyNumberFormat="1" applyFont="1" applyFill="1" applyBorder="1" applyAlignment="1" applyProtection="1">
      <alignment/>
      <protection/>
    </xf>
    <xf numFmtId="49" fontId="77" fillId="34" borderId="25" xfId="0" applyNumberFormat="1" applyFont="1" applyFill="1" applyBorder="1" applyAlignment="1" applyProtection="1">
      <alignment/>
      <protection/>
    </xf>
    <xf numFmtId="2" fontId="77" fillId="34" borderId="25" xfId="0" applyNumberFormat="1" applyFont="1" applyFill="1" applyBorder="1" applyAlignment="1" applyProtection="1">
      <alignment horizontal="center"/>
      <protection/>
    </xf>
    <xf numFmtId="2" fontId="77" fillId="34" borderId="33" xfId="0" applyNumberFormat="1" applyFont="1" applyFill="1" applyBorder="1" applyAlignment="1" applyProtection="1">
      <alignment horizontal="center"/>
      <protection/>
    </xf>
    <xf numFmtId="0" fontId="6" fillId="34" borderId="25" xfId="0" applyFont="1" applyFill="1" applyBorder="1" applyAlignment="1" applyProtection="1">
      <alignment/>
      <protection/>
    </xf>
    <xf numFmtId="0" fontId="4" fillId="34" borderId="12" xfId="0" applyFont="1" applyFill="1" applyBorder="1" applyAlignment="1" applyProtection="1">
      <alignment/>
      <protection/>
    </xf>
    <xf numFmtId="0" fontId="8" fillId="34" borderId="11" xfId="0" applyFont="1" applyFill="1" applyBorder="1" applyAlignment="1" applyProtection="1">
      <alignment/>
      <protection/>
    </xf>
    <xf numFmtId="0" fontId="4" fillId="34" borderId="41" xfId="0" applyFont="1" applyFill="1" applyBorder="1" applyAlignment="1" applyProtection="1">
      <alignment/>
      <protection/>
    </xf>
    <xf numFmtId="0" fontId="4" fillId="34" borderId="29" xfId="0" applyFont="1" applyFill="1" applyBorder="1" applyAlignment="1" applyProtection="1">
      <alignment/>
      <protection/>
    </xf>
    <xf numFmtId="0" fontId="9" fillId="34" borderId="29" xfId="0" applyFont="1" applyFill="1" applyBorder="1" applyAlignment="1" applyProtection="1">
      <alignment vertical="center"/>
      <protection/>
    </xf>
    <xf numFmtId="0" fontId="4" fillId="34" borderId="29" xfId="0" applyFont="1" applyFill="1" applyBorder="1" applyAlignment="1" applyProtection="1">
      <alignment horizontal="left"/>
      <protection/>
    </xf>
    <xf numFmtId="0" fontId="9" fillId="34" borderId="29" xfId="0" applyFont="1" applyFill="1" applyBorder="1" applyAlignment="1" applyProtection="1">
      <alignment horizontal="left" vertical="center"/>
      <protection/>
    </xf>
    <xf numFmtId="0" fontId="4" fillId="34" borderId="41" xfId="0" applyFont="1" applyFill="1" applyBorder="1" applyAlignment="1" applyProtection="1">
      <alignment horizontal="left"/>
      <protection/>
    </xf>
    <xf numFmtId="0" fontId="0" fillId="0" borderId="0" xfId="0" applyBorder="1" applyAlignment="1" applyProtection="1">
      <alignment/>
      <protection/>
    </xf>
    <xf numFmtId="0" fontId="58" fillId="0" borderId="0" xfId="0" applyFont="1" applyBorder="1" applyAlignment="1" applyProtection="1">
      <alignment/>
      <protection/>
    </xf>
    <xf numFmtId="0" fontId="58" fillId="0" borderId="0" xfId="0" applyFont="1" applyBorder="1" applyAlignment="1" applyProtection="1">
      <alignment horizontal="center"/>
      <protection/>
    </xf>
    <xf numFmtId="0" fontId="12" fillId="0" borderId="42" xfId="57" applyFont="1" applyBorder="1" applyAlignment="1" applyProtection="1">
      <alignment horizontal="center" wrapText="1"/>
      <protection/>
    </xf>
    <xf numFmtId="0" fontId="12" fillId="0" borderId="37" xfId="57" applyFont="1" applyBorder="1" applyAlignment="1" applyProtection="1">
      <alignment horizontal="center" wrapText="1"/>
      <protection/>
    </xf>
    <xf numFmtId="0" fontId="4" fillId="0" borderId="18" xfId="0" applyNumberFormat="1" applyFont="1" applyBorder="1" applyAlignment="1" applyProtection="1">
      <alignment horizontal="center"/>
      <protection locked="0"/>
    </xf>
    <xf numFmtId="0" fontId="44" fillId="0" borderId="19" xfId="0" applyFont="1" applyBorder="1" applyAlignment="1" applyProtection="1">
      <alignment horizontal="center"/>
      <protection locked="0"/>
    </xf>
    <xf numFmtId="0" fontId="4" fillId="34" borderId="10" xfId="0" applyFont="1" applyFill="1" applyBorder="1" applyAlignment="1" applyProtection="1">
      <alignment/>
      <protection/>
    </xf>
    <xf numFmtId="0" fontId="0" fillId="34" borderId="11" xfId="0" applyFill="1" applyBorder="1" applyAlignment="1" applyProtection="1">
      <alignment/>
      <protection/>
    </xf>
    <xf numFmtId="0" fontId="0" fillId="34" borderId="12" xfId="0" applyFill="1" applyBorder="1" applyAlignment="1" applyProtection="1">
      <alignment/>
      <protection/>
    </xf>
    <xf numFmtId="49" fontId="4" fillId="34" borderId="18" xfId="0" applyNumberFormat="1" applyFont="1" applyFill="1" applyBorder="1" applyAlignment="1" applyProtection="1">
      <alignment horizontal="center"/>
      <protection/>
    </xf>
    <xf numFmtId="49" fontId="4" fillId="34" borderId="19" xfId="0" applyNumberFormat="1" applyFont="1" applyFill="1" applyBorder="1" applyAlignment="1" applyProtection="1">
      <alignment horizontal="center"/>
      <protection/>
    </xf>
    <xf numFmtId="165" fontId="4" fillId="0" borderId="18" xfId="0" applyNumberFormat="1" applyFont="1" applyBorder="1" applyAlignment="1" applyProtection="1">
      <alignment horizontal="center"/>
      <protection locked="0"/>
    </xf>
    <xf numFmtId="165" fontId="4" fillId="0" borderId="19" xfId="0" applyNumberFormat="1" applyFont="1" applyBorder="1" applyAlignment="1" applyProtection="1">
      <alignment horizontal="center"/>
      <protection locked="0"/>
    </xf>
    <xf numFmtId="165" fontId="4" fillId="34" borderId="18" xfId="0" applyNumberFormat="1" applyFont="1" applyFill="1" applyBorder="1" applyAlignment="1" applyProtection="1" quotePrefix="1">
      <alignment horizontal="center"/>
      <protection/>
    </xf>
    <xf numFmtId="165" fontId="4" fillId="34" borderId="19" xfId="0" applyNumberFormat="1" applyFont="1" applyFill="1" applyBorder="1" applyAlignment="1" applyProtection="1">
      <alignment horizontal="center"/>
      <protection/>
    </xf>
    <xf numFmtId="0" fontId="4" fillId="34" borderId="18" xfId="0" applyNumberFormat="1" applyFont="1" applyFill="1" applyBorder="1" applyAlignment="1" applyProtection="1">
      <alignment horizontal="center"/>
      <protection/>
    </xf>
    <xf numFmtId="0" fontId="4" fillId="34" borderId="19" xfId="0" applyNumberFormat="1" applyFont="1" applyFill="1" applyBorder="1" applyAlignment="1" applyProtection="1">
      <alignment horizontal="center"/>
      <protection/>
    </xf>
    <xf numFmtId="0" fontId="4" fillId="34" borderId="18" xfId="0" applyFont="1" applyFill="1" applyBorder="1" applyAlignment="1" applyProtection="1">
      <alignment horizontal="right"/>
      <protection/>
    </xf>
    <xf numFmtId="0" fontId="0" fillId="34" borderId="19" xfId="0" applyFill="1" applyBorder="1" applyAlignment="1" applyProtection="1">
      <alignment horizontal="right"/>
      <protection/>
    </xf>
    <xf numFmtId="165" fontId="4" fillId="34" borderId="18" xfId="0" applyNumberFormat="1" applyFont="1" applyFill="1" applyBorder="1" applyAlignment="1" applyProtection="1">
      <alignment horizontal="center"/>
      <protection/>
    </xf>
    <xf numFmtId="0" fontId="0" fillId="0" borderId="19" xfId="0" applyBorder="1" applyAlignment="1" applyProtection="1">
      <alignment horizontal="center"/>
      <protection/>
    </xf>
    <xf numFmtId="49" fontId="4" fillId="0" borderId="25" xfId="0" applyNumberFormat="1" applyFont="1" applyBorder="1" applyAlignment="1" applyProtection="1">
      <alignment/>
      <protection locked="0"/>
    </xf>
    <xf numFmtId="49" fontId="44" fillId="0" borderId="0" xfId="0" applyNumberFormat="1" applyFont="1" applyBorder="1" applyAlignment="1" applyProtection="1">
      <alignment/>
      <protection locked="0"/>
    </xf>
    <xf numFmtId="49" fontId="44" fillId="0" borderId="33"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49" fontId="44" fillId="0" borderId="24" xfId="0" applyNumberFormat="1" applyFont="1" applyBorder="1" applyAlignment="1" applyProtection="1">
      <alignment/>
      <protection locked="0"/>
    </xf>
    <xf numFmtId="49" fontId="44" fillId="0" borderId="26" xfId="0" applyNumberFormat="1" applyFont="1" applyBorder="1" applyAlignment="1" applyProtection="1">
      <alignment/>
      <protection locked="0"/>
    </xf>
    <xf numFmtId="49" fontId="4" fillId="34" borderId="23" xfId="0" applyNumberFormat="1" applyFont="1" applyFill="1" applyBorder="1" applyAlignment="1" applyProtection="1">
      <alignment horizontal="center"/>
      <protection/>
    </xf>
    <xf numFmtId="49" fontId="4" fillId="34" borderId="26" xfId="0" applyNumberFormat="1" applyFont="1" applyFill="1" applyBorder="1" applyAlignment="1" applyProtection="1">
      <alignment horizontal="center"/>
      <protection/>
    </xf>
    <xf numFmtId="0" fontId="4" fillId="34" borderId="18" xfId="0" applyFont="1" applyFill="1" applyBorder="1" applyAlignment="1">
      <alignment vertical="center" shrinkToFit="1"/>
    </xf>
    <xf numFmtId="0" fontId="4" fillId="34" borderId="21" xfId="0" applyFont="1" applyFill="1" applyBorder="1" applyAlignment="1">
      <alignment vertical="center" shrinkToFit="1"/>
    </xf>
    <xf numFmtId="0" fontId="55" fillId="0" borderId="21" xfId="53" applyFont="1" applyBorder="1" applyAlignment="1" applyProtection="1" quotePrefix="1">
      <alignment vertical="center" shrinkToFit="1"/>
      <protection locked="0"/>
    </xf>
    <xf numFmtId="0" fontId="44" fillId="0" borderId="21" xfId="0" applyFont="1" applyBorder="1" applyAlignment="1" applyProtection="1">
      <alignment vertical="center" shrinkToFit="1"/>
      <protection locked="0"/>
    </xf>
    <xf numFmtId="0" fontId="44" fillId="0" borderId="19" xfId="0" applyFont="1" applyBorder="1" applyAlignment="1" applyProtection="1">
      <alignment vertical="center" shrinkToFit="1"/>
      <protection locked="0"/>
    </xf>
    <xf numFmtId="0" fontId="4" fillId="34" borderId="18"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18" xfId="0" applyFont="1" applyFill="1" applyBorder="1" applyAlignment="1" applyProtection="1">
      <alignment horizontal="center"/>
      <protection/>
    </xf>
    <xf numFmtId="0" fontId="54" fillId="34" borderId="26" xfId="0" applyFont="1" applyFill="1" applyBorder="1" applyAlignment="1" applyProtection="1">
      <alignment horizontal="center"/>
      <protection/>
    </xf>
    <xf numFmtId="0" fontId="79" fillId="34" borderId="19" xfId="0" applyFont="1" applyFill="1" applyBorder="1" applyAlignment="1" applyProtection="1">
      <alignment horizontal="center"/>
      <protection/>
    </xf>
    <xf numFmtId="0" fontId="6" fillId="34" borderId="23" xfId="0" applyNumberFormat="1" applyFont="1" applyFill="1" applyBorder="1" applyAlignment="1" applyProtection="1">
      <alignment horizontal="center"/>
      <protection/>
    </xf>
    <xf numFmtId="0" fontId="6" fillId="34" borderId="26"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26" xfId="0" applyNumberFormat="1" applyFont="1" applyFill="1" applyBorder="1" applyAlignment="1" applyProtection="1">
      <alignment horizontal="center"/>
      <protection/>
    </xf>
    <xf numFmtId="0" fontId="4" fillId="34" borderId="18" xfId="0" applyNumberFormat="1" applyFont="1" applyFill="1" applyBorder="1" applyAlignment="1" applyProtection="1" quotePrefix="1">
      <alignment horizontal="center"/>
      <protection/>
    </xf>
    <xf numFmtId="49" fontId="77" fillId="34" borderId="18" xfId="0" applyNumberFormat="1" applyFont="1" applyFill="1" applyBorder="1" applyAlignment="1" applyProtection="1">
      <alignment horizontal="center"/>
      <protection/>
    </xf>
    <xf numFmtId="49" fontId="77" fillId="34" borderId="19" xfId="0" applyNumberFormat="1" applyFont="1" applyFill="1" applyBorder="1" applyAlignment="1" applyProtection="1">
      <alignment horizontal="center"/>
      <protection/>
    </xf>
    <xf numFmtId="0" fontId="77" fillId="34" borderId="18" xfId="0" applyNumberFormat="1" applyFont="1" applyFill="1" applyBorder="1" applyAlignment="1" applyProtection="1">
      <alignment horizontal="center"/>
      <protection/>
    </xf>
    <xf numFmtId="0" fontId="77" fillId="34" borderId="19" xfId="0" applyNumberFormat="1" applyFont="1" applyFill="1" applyBorder="1" applyAlignment="1" applyProtection="1">
      <alignment horizontal="center"/>
      <protection/>
    </xf>
    <xf numFmtId="0" fontId="77" fillId="0" borderId="18" xfId="0" applyNumberFormat="1" applyFont="1" applyBorder="1" applyAlignment="1" applyProtection="1">
      <alignment horizontal="center"/>
      <protection locked="0"/>
    </xf>
    <xf numFmtId="0" fontId="0" fillId="0" borderId="19" xfId="0" applyBorder="1" applyAlignment="1" applyProtection="1">
      <alignment horizontal="center"/>
      <protection locked="0"/>
    </xf>
    <xf numFmtId="0" fontId="4" fillId="34" borderId="19" xfId="0" applyFont="1" applyFill="1" applyBorder="1" applyAlignment="1" applyProtection="1">
      <alignment horizontal="center"/>
      <protection/>
    </xf>
    <xf numFmtId="0" fontId="4" fillId="0" borderId="19" xfId="0" applyNumberFormat="1" applyFont="1" applyBorder="1" applyAlignment="1" applyProtection="1">
      <alignment horizontal="center"/>
      <protection locked="0"/>
    </xf>
    <xf numFmtId="164" fontId="4" fillId="34" borderId="18" xfId="0" applyNumberFormat="1" applyFont="1" applyFill="1" applyBorder="1" applyAlignment="1" applyProtection="1">
      <alignment horizontal="center"/>
      <protection/>
    </xf>
    <xf numFmtId="164" fontId="4" fillId="34" borderId="19" xfId="0" applyNumberFormat="1" applyFont="1" applyFill="1" applyBorder="1" applyAlignment="1" applyProtection="1">
      <alignment horizontal="center"/>
      <protection/>
    </xf>
    <xf numFmtId="2" fontId="4" fillId="34" borderId="18" xfId="0" applyNumberFormat="1" applyFont="1" applyFill="1" applyBorder="1" applyAlignment="1" applyProtection="1">
      <alignment horizontal="center"/>
      <protection/>
    </xf>
    <xf numFmtId="2" fontId="4" fillId="34" borderId="19" xfId="0" applyNumberFormat="1" applyFont="1" applyFill="1" applyBorder="1" applyAlignment="1" applyProtection="1">
      <alignment horizontal="center"/>
      <protection/>
    </xf>
    <xf numFmtId="0" fontId="2" fillId="0" borderId="27"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14" fontId="2" fillId="0" borderId="25" xfId="0" applyNumberFormat="1" applyFont="1" applyFill="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10" fillId="0" borderId="0" xfId="0" applyFont="1" applyFill="1" applyAlignment="1" applyProtection="1">
      <alignment horizontal="right"/>
      <protection locked="0"/>
    </xf>
    <xf numFmtId="0" fontId="4" fillId="34" borderId="45" xfId="0" applyNumberFormat="1" applyFont="1" applyFill="1" applyBorder="1" applyAlignment="1" applyProtection="1">
      <alignment horizontal="center"/>
      <protection/>
    </xf>
    <xf numFmtId="0" fontId="2" fillId="0" borderId="27"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9" fillId="34" borderId="47" xfId="0" applyFont="1" applyFill="1" applyBorder="1" applyAlignment="1" applyProtection="1">
      <alignment vertical="top"/>
      <protection/>
    </xf>
    <xf numFmtId="0" fontId="9" fillId="34" borderId="11" xfId="0" applyFont="1" applyFill="1" applyBorder="1" applyAlignment="1" applyProtection="1">
      <alignment vertical="top"/>
      <protection/>
    </xf>
    <xf numFmtId="0" fontId="9" fillId="34" borderId="27" xfId="0" applyFont="1" applyFill="1" applyBorder="1" applyAlignment="1" applyProtection="1">
      <alignment vertical="top"/>
      <protection/>
    </xf>
    <xf numFmtId="0" fontId="9" fillId="34" borderId="0" xfId="0" applyFont="1" applyFill="1" applyBorder="1" applyAlignment="1" applyProtection="1">
      <alignment vertical="top"/>
      <protection/>
    </xf>
    <xf numFmtId="0" fontId="0" fillId="34" borderId="0" xfId="0" applyFill="1" applyAlignment="1" applyProtection="1">
      <alignment/>
      <protection/>
    </xf>
    <xf numFmtId="0" fontId="0" fillId="34" borderId="33" xfId="0" applyFill="1" applyBorder="1" applyAlignment="1" applyProtection="1">
      <alignment/>
      <protection/>
    </xf>
    <xf numFmtId="0" fontId="9" fillId="34" borderId="10" xfId="0" applyFont="1" applyFill="1" applyBorder="1" applyAlignment="1" applyProtection="1">
      <alignment vertical="top"/>
      <protection/>
    </xf>
    <xf numFmtId="0" fontId="0" fillId="34" borderId="48" xfId="0" applyFill="1" applyBorder="1" applyAlignment="1" applyProtection="1">
      <alignment/>
      <protection/>
    </xf>
    <xf numFmtId="0" fontId="9" fillId="34" borderId="25" xfId="0" applyFont="1" applyFill="1" applyBorder="1" applyAlignment="1" applyProtection="1">
      <alignment vertical="top"/>
      <protection/>
    </xf>
    <xf numFmtId="0" fontId="0" fillId="34" borderId="20" xfId="0" applyFill="1" applyBorder="1" applyAlignment="1" applyProtection="1">
      <alignment/>
      <protection/>
    </xf>
    <xf numFmtId="0" fontId="2" fillId="0" borderId="2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44" fillId="0" borderId="43" xfId="0" applyFont="1" applyBorder="1" applyAlignment="1" applyProtection="1">
      <alignment horizontal="center" vertical="center"/>
      <protection locked="0"/>
    </xf>
    <xf numFmtId="0" fontId="44" fillId="0" borderId="29" xfId="0" applyFont="1" applyBorder="1" applyAlignment="1" applyProtection="1">
      <alignment horizontal="center" vertical="center"/>
      <protection locked="0"/>
    </xf>
    <xf numFmtId="0" fontId="44" fillId="0" borderId="44" xfId="0" applyFont="1" applyBorder="1" applyAlignment="1" applyProtection="1">
      <alignment horizontal="center" vertical="center"/>
      <protection locked="0"/>
    </xf>
    <xf numFmtId="0" fontId="4" fillId="34" borderId="18" xfId="0" applyFont="1" applyFill="1" applyBorder="1" applyAlignment="1">
      <alignment/>
    </xf>
    <xf numFmtId="0" fontId="0" fillId="0" borderId="21" xfId="0" applyBorder="1" applyAlignment="1">
      <alignment/>
    </xf>
    <xf numFmtId="0" fontId="0" fillId="0" borderId="19" xfId="0" applyBorder="1" applyAlignment="1">
      <alignment/>
    </xf>
    <xf numFmtId="0" fontId="44" fillId="34" borderId="19" xfId="0" applyFont="1" applyFill="1" applyBorder="1" applyAlignment="1">
      <alignment horizontal="center"/>
    </xf>
    <xf numFmtId="0" fontId="4" fillId="34" borderId="19" xfId="0" applyNumberFormat="1" applyFont="1" applyFill="1" applyBorder="1" applyAlignment="1" applyProtection="1" quotePrefix="1">
      <alignment horizontal="center"/>
      <protection/>
    </xf>
    <xf numFmtId="0" fontId="9" fillId="34" borderId="16" xfId="0" applyFont="1" applyFill="1" applyBorder="1" applyAlignment="1" applyProtection="1">
      <alignment horizontal="left" vertical="top"/>
      <protection/>
    </xf>
    <xf numFmtId="0" fontId="9" fillId="34" borderId="15" xfId="0" applyFont="1" applyFill="1" applyBorder="1" applyAlignment="1" applyProtection="1">
      <alignment horizontal="left" vertical="top"/>
      <protection/>
    </xf>
    <xf numFmtId="0" fontId="9" fillId="34" borderId="17" xfId="0" applyFont="1" applyFill="1" applyBorder="1" applyAlignment="1" applyProtection="1">
      <alignment horizontal="left" vertical="top"/>
      <protection/>
    </xf>
    <xf numFmtId="0" fontId="9" fillId="34" borderId="25" xfId="0" applyFont="1" applyFill="1" applyBorder="1" applyAlignment="1" applyProtection="1">
      <alignment horizontal="left" vertical="top"/>
      <protection/>
    </xf>
    <xf numFmtId="0" fontId="9" fillId="34" borderId="0" xfId="0" applyFont="1" applyFill="1" applyBorder="1" applyAlignment="1" applyProtection="1">
      <alignment horizontal="left" vertical="top"/>
      <protection/>
    </xf>
    <xf numFmtId="0" fontId="9" fillId="34" borderId="20" xfId="0" applyFont="1" applyFill="1" applyBorder="1" applyAlignment="1" applyProtection="1">
      <alignment horizontal="left" vertical="top"/>
      <protection/>
    </xf>
    <xf numFmtId="0" fontId="9" fillId="34" borderId="16" xfId="0" applyFont="1" applyFill="1" applyBorder="1" applyAlignment="1">
      <alignment horizontal="left" vertical="top"/>
    </xf>
    <xf numFmtId="0" fontId="9" fillId="34" borderId="15" xfId="0" applyFont="1" applyFill="1" applyBorder="1" applyAlignment="1">
      <alignment horizontal="left" vertical="top"/>
    </xf>
    <xf numFmtId="0" fontId="9" fillId="34" borderId="17" xfId="0" applyFont="1" applyFill="1" applyBorder="1" applyAlignment="1">
      <alignment horizontal="left" vertical="top"/>
    </xf>
    <xf numFmtId="0" fontId="4" fillId="36" borderId="18" xfId="0" applyNumberFormat="1" applyFont="1" applyFill="1" applyBorder="1" applyAlignment="1" applyProtection="1">
      <alignment horizontal="center"/>
      <protection/>
    </xf>
    <xf numFmtId="0" fontId="4" fillId="36" borderId="19" xfId="0" applyNumberFormat="1" applyFont="1" applyFill="1" applyBorder="1" applyAlignment="1" applyProtection="1">
      <alignment horizontal="center"/>
      <protection/>
    </xf>
    <xf numFmtId="165" fontId="4" fillId="34" borderId="49" xfId="0" applyNumberFormat="1" applyFont="1" applyFill="1" applyBorder="1" applyAlignment="1" applyProtection="1">
      <alignment horizontal="center"/>
      <protection/>
    </xf>
    <xf numFmtId="0" fontId="2" fillId="34" borderId="27"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33" xfId="0" applyFont="1" applyFill="1" applyBorder="1" applyAlignment="1" applyProtection="1">
      <alignment horizontal="center" vertical="center"/>
      <protection locked="0"/>
    </xf>
    <xf numFmtId="0" fontId="2" fillId="34" borderId="46" xfId="0"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4" borderId="26" xfId="0" applyFont="1" applyFill="1" applyBorder="1" applyAlignment="1" applyProtection="1">
      <alignment horizontal="center" vertical="center"/>
      <protection locked="0"/>
    </xf>
    <xf numFmtId="14" fontId="2" fillId="34" borderId="25" xfId="0" applyNumberFormat="1" applyFont="1" applyFill="1" applyBorder="1" applyAlignment="1" applyProtection="1">
      <alignment horizontal="center" vertical="center"/>
      <protection locked="0"/>
    </xf>
    <xf numFmtId="14" fontId="2" fillId="34" borderId="0" xfId="0" applyNumberFormat="1" applyFont="1" applyFill="1" applyBorder="1" applyAlignment="1" applyProtection="1">
      <alignment horizontal="center" vertical="center"/>
      <protection locked="0"/>
    </xf>
    <xf numFmtId="14" fontId="2" fillId="34" borderId="20" xfId="0" applyNumberFormat="1" applyFont="1" applyFill="1" applyBorder="1" applyAlignment="1" applyProtection="1">
      <alignment horizontal="center" vertical="center"/>
      <protection locked="0"/>
    </xf>
    <xf numFmtId="14" fontId="2" fillId="34" borderId="23" xfId="0" applyNumberFormat="1" applyFont="1" applyFill="1" applyBorder="1" applyAlignment="1" applyProtection="1">
      <alignment horizontal="center" vertical="center"/>
      <protection locked="0"/>
    </xf>
    <xf numFmtId="14" fontId="2" fillId="34" borderId="24" xfId="0" applyNumberFormat="1" applyFont="1" applyFill="1" applyBorder="1" applyAlignment="1" applyProtection="1">
      <alignment horizontal="center" vertical="center"/>
      <protection locked="0"/>
    </xf>
    <xf numFmtId="14" fontId="2" fillId="34" borderId="36" xfId="0" applyNumberFormat="1" applyFont="1" applyFill="1" applyBorder="1" applyAlignment="1" applyProtection="1">
      <alignment horizontal="center" vertical="center"/>
      <protection locked="0"/>
    </xf>
    <xf numFmtId="0" fontId="2" fillId="34" borderId="0" xfId="0" applyFont="1" applyFill="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0" fontId="2" fillId="34" borderId="29" xfId="0" applyFont="1" applyFill="1" applyBorder="1" applyAlignment="1" applyProtection="1">
      <alignment horizontal="center" vertical="center"/>
      <protection locked="0"/>
    </xf>
    <xf numFmtId="0" fontId="2" fillId="34" borderId="41" xfId="0" applyFont="1" applyFill="1" applyBorder="1" applyAlignment="1" applyProtection="1">
      <alignment horizontal="center" vertical="center"/>
      <protection locked="0"/>
    </xf>
    <xf numFmtId="0" fontId="2" fillId="34" borderId="25" xfId="0" applyFont="1" applyFill="1" applyBorder="1" applyAlignment="1" applyProtection="1">
      <alignment horizontal="center" vertical="center"/>
      <protection locked="0"/>
    </xf>
    <xf numFmtId="0" fontId="44" fillId="34" borderId="0" xfId="0" applyFont="1" applyFill="1" applyBorder="1" applyAlignment="1" applyProtection="1">
      <alignment horizontal="center" vertical="center"/>
      <protection locked="0"/>
    </xf>
    <xf numFmtId="0" fontId="44" fillId="34" borderId="20" xfId="0" applyFont="1" applyFill="1" applyBorder="1" applyAlignment="1" applyProtection="1">
      <alignment horizontal="center" vertical="center"/>
      <protection locked="0"/>
    </xf>
    <xf numFmtId="0" fontId="44" fillId="34" borderId="43" xfId="0" applyFont="1" applyFill="1" applyBorder="1" applyAlignment="1" applyProtection="1">
      <alignment horizontal="center" vertical="center"/>
      <protection locked="0"/>
    </xf>
    <xf numFmtId="0" fontId="44" fillId="34" borderId="29" xfId="0" applyFont="1" applyFill="1" applyBorder="1" applyAlignment="1" applyProtection="1">
      <alignment horizontal="center" vertical="center"/>
      <protection locked="0"/>
    </xf>
    <xf numFmtId="0" fontId="44" fillId="34" borderId="44" xfId="0" applyFont="1" applyFill="1" applyBorder="1" applyAlignment="1" applyProtection="1">
      <alignment horizontal="center" vertical="center"/>
      <protection locked="0"/>
    </xf>
    <xf numFmtId="1" fontId="4" fillId="34" borderId="10" xfId="0" applyNumberFormat="1" applyFont="1" applyFill="1" applyBorder="1" applyAlignment="1" applyProtection="1">
      <alignment horizontal="center"/>
      <protection locked="0"/>
    </xf>
    <xf numFmtId="1" fontId="4" fillId="34" borderId="12" xfId="0" applyNumberFormat="1" applyFont="1" applyFill="1" applyBorder="1" applyAlignment="1" applyProtection="1">
      <alignment horizontal="center"/>
      <protection locked="0"/>
    </xf>
    <xf numFmtId="1" fontId="4" fillId="34" borderId="23" xfId="0" applyNumberFormat="1" applyFont="1" applyFill="1" applyBorder="1" applyAlignment="1" applyProtection="1">
      <alignment horizontal="center"/>
      <protection locked="0"/>
    </xf>
    <xf numFmtId="1" fontId="4" fillId="34" borderId="26" xfId="0" applyNumberFormat="1" applyFont="1" applyFill="1" applyBorder="1" applyAlignment="1" applyProtection="1">
      <alignment horizontal="center"/>
      <protection locked="0"/>
    </xf>
    <xf numFmtId="1" fontId="4" fillId="34" borderId="10" xfId="0" applyNumberFormat="1" applyFont="1" applyFill="1" applyBorder="1" applyAlignment="1" applyProtection="1">
      <alignment horizontal="center" vertical="center"/>
      <protection locked="0"/>
    </xf>
    <xf numFmtId="1" fontId="4" fillId="34" borderId="12" xfId="0" applyNumberFormat="1" applyFont="1" applyFill="1" applyBorder="1" applyAlignment="1" applyProtection="1">
      <alignment horizontal="center" vertical="center"/>
      <protection locked="0"/>
    </xf>
    <xf numFmtId="1" fontId="4" fillId="34" borderId="23" xfId="0" applyNumberFormat="1" applyFont="1" applyFill="1" applyBorder="1" applyAlignment="1" applyProtection="1">
      <alignment horizontal="center" vertical="center"/>
      <protection locked="0"/>
    </xf>
    <xf numFmtId="1" fontId="4" fillId="34" borderId="26" xfId="0" applyNumberFormat="1" applyFont="1" applyFill="1" applyBorder="1" applyAlignment="1" applyProtection="1">
      <alignment horizontal="center" vertical="center"/>
      <protection locked="0"/>
    </xf>
    <xf numFmtId="164" fontId="4" fillId="36" borderId="18" xfId="0" applyNumberFormat="1" applyFont="1" applyFill="1" applyBorder="1" applyAlignment="1" applyProtection="1">
      <alignment horizontal="center"/>
      <protection/>
    </xf>
    <xf numFmtId="164" fontId="4" fillId="36" borderId="19" xfId="0" applyNumberFormat="1" applyFont="1" applyFill="1" applyBorder="1" applyAlignment="1" applyProtection="1">
      <alignment horizontal="center"/>
      <protection/>
    </xf>
    <xf numFmtId="164" fontId="4" fillId="0" borderId="18" xfId="0" applyNumberFormat="1" applyFont="1" applyBorder="1" applyAlignment="1" applyProtection="1">
      <alignment horizontal="center"/>
      <protection locked="0"/>
    </xf>
    <xf numFmtId="164" fontId="4" fillId="0" borderId="19" xfId="0" applyNumberFormat="1" applyFont="1" applyBorder="1" applyAlignment="1" applyProtection="1">
      <alignment horizontal="center"/>
      <protection locked="0"/>
    </xf>
    <xf numFmtId="0" fontId="44" fillId="34" borderId="19" xfId="0" applyFont="1" applyFill="1" applyBorder="1" applyAlignment="1" applyProtection="1">
      <alignment horizontal="right"/>
      <protection/>
    </xf>
    <xf numFmtId="0" fontId="4" fillId="34" borderId="18" xfId="0" applyNumberFormat="1" applyFont="1" applyFill="1" applyBorder="1" applyAlignment="1" applyProtection="1">
      <alignment horizontal="center" wrapText="1"/>
      <protection locked="0"/>
    </xf>
    <xf numFmtId="0" fontId="4" fillId="34" borderId="19" xfId="0" applyNumberFormat="1" applyFont="1" applyFill="1" applyBorder="1" applyAlignment="1" applyProtection="1">
      <alignment horizontal="center" wrapText="1"/>
      <protection locked="0"/>
    </xf>
    <xf numFmtId="0" fontId="4" fillId="34" borderId="21" xfId="0" applyFont="1" applyFill="1" applyBorder="1" applyAlignment="1" applyProtection="1">
      <alignment vertical="center" shrinkToFit="1"/>
      <protection/>
    </xf>
    <xf numFmtId="0" fontId="44" fillId="34" borderId="21" xfId="0" applyFont="1" applyFill="1" applyBorder="1" applyAlignment="1" applyProtection="1">
      <alignment vertical="center" shrinkToFit="1"/>
      <protection/>
    </xf>
    <xf numFmtId="0" fontId="44" fillId="34" borderId="19" xfId="0" applyFont="1" applyFill="1" applyBorder="1" applyAlignment="1" applyProtection="1">
      <alignment vertical="center" shrinkToFit="1"/>
      <protection/>
    </xf>
    <xf numFmtId="0" fontId="4" fillId="34" borderId="18"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3" borderId="0" xfId="0" applyFont="1" applyFill="1" applyBorder="1" applyAlignment="1" applyProtection="1">
      <alignment horizontal="right"/>
      <protection/>
    </xf>
    <xf numFmtId="0" fontId="0" fillId="0" borderId="0" xfId="0" applyBorder="1" applyAlignment="1" applyProtection="1">
      <alignment horizontal="right"/>
      <protection/>
    </xf>
    <xf numFmtId="0" fontId="0" fillId="0" borderId="20" xfId="0" applyBorder="1" applyAlignment="1" applyProtection="1">
      <alignment horizontal="right"/>
      <protection/>
    </xf>
    <xf numFmtId="0" fontId="90" fillId="0" borderId="25" xfId="0" applyNumberFormat="1" applyFont="1" applyBorder="1" applyAlignment="1" applyProtection="1" quotePrefix="1">
      <alignment/>
      <protection/>
    </xf>
    <xf numFmtId="0" fontId="78" fillId="0" borderId="0" xfId="0" applyNumberFormat="1" applyFont="1" applyBorder="1" applyAlignment="1" applyProtection="1">
      <alignment/>
      <protection/>
    </xf>
    <xf numFmtId="0" fontId="78" fillId="0" borderId="33" xfId="0" applyNumberFormat="1" applyFont="1" applyBorder="1" applyAlignment="1" applyProtection="1">
      <alignment/>
      <protection/>
    </xf>
    <xf numFmtId="0" fontId="4" fillId="34" borderId="25" xfId="0" applyNumberFormat="1" applyFont="1" applyFill="1" applyBorder="1" applyAlignment="1" applyProtection="1" quotePrefix="1">
      <alignment/>
      <protection/>
    </xf>
    <xf numFmtId="0" fontId="44" fillId="34" borderId="0" xfId="0" applyNumberFormat="1" applyFont="1" applyFill="1" applyBorder="1" applyAlignment="1" applyProtection="1">
      <alignment/>
      <protection/>
    </xf>
    <xf numFmtId="0" fontId="44" fillId="34" borderId="33" xfId="0" applyNumberFormat="1" applyFont="1" applyFill="1" applyBorder="1" applyAlignment="1" applyProtection="1">
      <alignment/>
      <protection/>
    </xf>
    <xf numFmtId="0" fontId="90" fillId="34" borderId="23" xfId="0" applyNumberFormat="1" applyFont="1" applyFill="1" applyBorder="1" applyAlignment="1" applyProtection="1">
      <alignment/>
      <protection/>
    </xf>
    <xf numFmtId="0" fontId="78" fillId="34" borderId="24" xfId="0" applyNumberFormat="1" applyFont="1" applyFill="1" applyBorder="1" applyAlignment="1" applyProtection="1">
      <alignment/>
      <protection/>
    </xf>
    <xf numFmtId="0" fontId="78" fillId="34" borderId="26" xfId="0" applyNumberFormat="1" applyFont="1" applyFill="1" applyBorder="1" applyAlignment="1" applyProtection="1">
      <alignment/>
      <protection/>
    </xf>
    <xf numFmtId="0" fontId="4" fillId="34" borderId="18" xfId="0" applyFont="1" applyFill="1" applyBorder="1" applyAlignment="1" applyProtection="1">
      <alignment vertical="center" shrinkToFit="1"/>
      <protection/>
    </xf>
    <xf numFmtId="2" fontId="4" fillId="34" borderId="25" xfId="0" applyNumberFormat="1" applyFont="1" applyFill="1" applyBorder="1" applyAlignment="1" applyProtection="1">
      <alignment horizontal="center"/>
      <protection locked="0"/>
    </xf>
    <xf numFmtId="2" fontId="4" fillId="34" borderId="33" xfId="0" applyNumberFormat="1" applyFont="1" applyFill="1" applyBorder="1" applyAlignment="1" applyProtection="1">
      <alignment horizontal="center"/>
      <protection locked="0"/>
    </xf>
    <xf numFmtId="2" fontId="4" fillId="34" borderId="10" xfId="0" applyNumberFormat="1" applyFont="1" applyFill="1" applyBorder="1" applyAlignment="1" applyProtection="1">
      <alignment horizontal="center"/>
      <protection locked="0"/>
    </xf>
    <xf numFmtId="2" fontId="4" fillId="34" borderId="12" xfId="0" applyNumberFormat="1" applyFont="1" applyFill="1" applyBorder="1" applyAlignment="1" applyProtection="1">
      <alignment horizontal="center"/>
      <protection locked="0"/>
    </xf>
    <xf numFmtId="0" fontId="4" fillId="34" borderId="11" xfId="0" applyNumberFormat="1" applyFont="1" applyFill="1" applyBorder="1" applyAlignment="1" applyProtection="1">
      <alignment horizontal="center"/>
      <protection/>
    </xf>
    <xf numFmtId="0" fontId="4" fillId="34" borderId="0" xfId="0" applyNumberFormat="1" applyFont="1" applyFill="1" applyBorder="1" applyAlignment="1" applyProtection="1">
      <alignment horizontal="center"/>
      <protection/>
    </xf>
    <xf numFmtId="0" fontId="4" fillId="34" borderId="33" xfId="0" applyNumberFormat="1" applyFont="1" applyFill="1" applyBorder="1" applyAlignment="1" applyProtection="1">
      <alignment horizontal="center"/>
      <protection/>
    </xf>
    <xf numFmtId="49" fontId="8" fillId="34" borderId="18" xfId="0" applyNumberFormat="1" applyFont="1" applyFill="1" applyBorder="1" applyAlignment="1" applyProtection="1">
      <alignment horizontal="center"/>
      <protection locked="0"/>
    </xf>
    <xf numFmtId="0" fontId="47" fillId="34" borderId="21" xfId="0" applyFont="1" applyFill="1" applyBorder="1" applyAlignment="1">
      <alignment horizontal="center"/>
    </xf>
    <xf numFmtId="0" fontId="47" fillId="34" borderId="22" xfId="0" applyFont="1" applyFill="1" applyBorder="1" applyAlignment="1">
      <alignment horizontal="center"/>
    </xf>
    <xf numFmtId="49" fontId="8" fillId="34" borderId="21" xfId="0" applyNumberFormat="1" applyFont="1" applyFill="1" applyBorder="1" applyAlignment="1" applyProtection="1">
      <alignment horizontal="center"/>
      <protection locked="0"/>
    </xf>
    <xf numFmtId="0" fontId="47" fillId="34" borderId="19" xfId="0" applyFont="1" applyFill="1" applyBorder="1" applyAlignment="1">
      <alignment horizontal="center"/>
    </xf>
    <xf numFmtId="1" fontId="4" fillId="34" borderId="26" xfId="0" applyNumberFormat="1" applyFont="1" applyFill="1" applyBorder="1" applyAlignment="1" applyProtection="1">
      <alignment/>
      <protection/>
    </xf>
    <xf numFmtId="1" fontId="4" fillId="34" borderId="23" xfId="0" applyNumberFormat="1" applyFont="1" applyFill="1" applyBorder="1" applyAlignment="1" applyProtection="1">
      <alignment/>
      <protection/>
    </xf>
    <xf numFmtId="1" fontId="4" fillId="34" borderId="31" xfId="0" applyNumberFormat="1" applyFont="1" applyFill="1" applyBorder="1" applyAlignment="1" applyProtection="1">
      <alignment/>
      <protection/>
    </xf>
    <xf numFmtId="1" fontId="4" fillId="34" borderId="32" xfId="0" applyNumberFormat="1" applyFont="1" applyFill="1" applyBorder="1" applyAlignment="1" applyProtection="1">
      <alignment/>
      <protection/>
    </xf>
    <xf numFmtId="1" fontId="4" fillId="34" borderId="50" xfId="0" applyNumberFormat="1" applyFont="1" applyFill="1" applyBorder="1" applyAlignment="1" applyProtection="1">
      <alignment/>
      <protection/>
    </xf>
    <xf numFmtId="1" fontId="4" fillId="34" borderId="12" xfId="0" applyNumberFormat="1" applyFont="1" applyFill="1" applyBorder="1" applyAlignment="1" applyProtection="1">
      <alignment/>
      <protection/>
    </xf>
    <xf numFmtId="1" fontId="4" fillId="34" borderId="45" xfId="0" applyNumberFormat="1" applyFont="1" applyFill="1" applyBorder="1" applyAlignment="1" applyProtection="1">
      <alignment/>
      <protection/>
    </xf>
    <xf numFmtId="0" fontId="4" fillId="33" borderId="45" xfId="0" applyNumberFormat="1" applyFont="1" applyFill="1" applyBorder="1" applyAlignment="1" applyProtection="1">
      <alignment/>
      <protection locked="0"/>
    </xf>
    <xf numFmtId="0" fontId="2" fillId="34" borderId="20"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36"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protection/>
    </xf>
    <xf numFmtId="1" fontId="4" fillId="34" borderId="24" xfId="0" applyNumberFormat="1" applyFont="1" applyFill="1" applyBorder="1" applyAlignment="1" applyProtection="1">
      <alignment/>
      <protection/>
    </xf>
    <xf numFmtId="1" fontId="4" fillId="34" borderId="21" xfId="0" applyNumberFormat="1" applyFont="1" applyFill="1" applyBorder="1" applyAlignment="1" applyProtection="1">
      <alignment/>
      <protection/>
    </xf>
    <xf numFmtId="1" fontId="4" fillId="34" borderId="11" xfId="0" applyNumberFormat="1" applyFont="1" applyFill="1" applyBorder="1" applyAlignment="1" applyProtection="1">
      <alignment/>
      <protection/>
    </xf>
    <xf numFmtId="165" fontId="8" fillId="34" borderId="23" xfId="0" applyNumberFormat="1" applyFont="1" applyFill="1" applyBorder="1" applyAlignment="1" applyProtection="1">
      <alignment horizontal="center"/>
      <protection/>
    </xf>
    <xf numFmtId="165" fontId="8" fillId="34" borderId="26"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locked="0"/>
    </xf>
    <xf numFmtId="0" fontId="4" fillId="34" borderId="51" xfId="0" applyNumberFormat="1" applyFont="1" applyFill="1" applyBorder="1" applyAlignment="1" applyProtection="1">
      <alignment horizontal="center"/>
      <protection locked="0"/>
    </xf>
    <xf numFmtId="0" fontId="8" fillId="34" borderId="23" xfId="0" applyNumberFormat="1" applyFont="1" applyFill="1" applyBorder="1" applyAlignment="1" applyProtection="1">
      <alignment horizontal="center"/>
      <protection/>
    </xf>
    <xf numFmtId="0" fontId="8" fillId="34" borderId="26" xfId="0" applyNumberFormat="1" applyFont="1" applyFill="1" applyBorder="1" applyAlignment="1" applyProtection="1">
      <alignment horizontal="center"/>
      <protection/>
    </xf>
    <xf numFmtId="0" fontId="4" fillId="35" borderId="18" xfId="0" applyNumberFormat="1" applyFont="1" applyFill="1" applyBorder="1" applyAlignment="1" applyProtection="1">
      <alignment horizontal="center"/>
      <protection locked="0"/>
    </xf>
    <xf numFmtId="0" fontId="4" fillId="35" borderId="19" xfId="0" applyNumberFormat="1" applyFont="1" applyFill="1" applyBorder="1" applyAlignment="1" applyProtection="1">
      <alignment horizontal="center"/>
      <protection locked="0"/>
    </xf>
    <xf numFmtId="0" fontId="77" fillId="34" borderId="25" xfId="0" applyNumberFormat="1" applyFont="1" applyFill="1" applyBorder="1" applyAlignment="1" applyProtection="1">
      <alignment/>
      <protection/>
    </xf>
    <xf numFmtId="0" fontId="77" fillId="34" borderId="33" xfId="0" applyNumberFormat="1" applyFont="1" applyFill="1" applyBorder="1" applyAlignment="1" applyProtection="1">
      <alignment/>
      <protection/>
    </xf>
    <xf numFmtId="0" fontId="4" fillId="33" borderId="52" xfId="0" applyNumberFormat="1" applyFont="1" applyFill="1" applyBorder="1" applyAlignment="1" applyProtection="1">
      <alignment horizontal="center"/>
      <protection locked="0"/>
    </xf>
    <xf numFmtId="0" fontId="4" fillId="33" borderId="53" xfId="0" applyNumberFormat="1" applyFont="1" applyFill="1" applyBorder="1" applyAlignment="1" applyProtection="1">
      <alignment horizontal="center"/>
      <protection locked="0"/>
    </xf>
    <xf numFmtId="0" fontId="77" fillId="34" borderId="25" xfId="0" applyNumberFormat="1" applyFont="1" applyFill="1" applyBorder="1" applyAlignment="1" applyProtection="1">
      <alignment horizontal="center"/>
      <protection/>
    </xf>
    <xf numFmtId="0" fontId="77" fillId="34" borderId="33" xfId="0" applyNumberFormat="1" applyFont="1" applyFill="1" applyBorder="1" applyAlignment="1" applyProtection="1">
      <alignment horizontal="center"/>
      <protection/>
    </xf>
    <xf numFmtId="0" fontId="91" fillId="34" borderId="25" xfId="0" applyNumberFormat="1" applyFont="1" applyFill="1" applyBorder="1" applyAlignment="1" applyProtection="1">
      <alignment horizontal="center"/>
      <protection/>
    </xf>
    <xf numFmtId="0" fontId="91" fillId="34" borderId="33" xfId="0" applyNumberFormat="1" applyFont="1" applyFill="1" applyBorder="1" applyAlignment="1" applyProtection="1">
      <alignment horizontal="center"/>
      <protection/>
    </xf>
    <xf numFmtId="165" fontId="4" fillId="0" borderId="52" xfId="0" applyNumberFormat="1" applyFont="1" applyBorder="1" applyAlignment="1" applyProtection="1">
      <alignment horizontal="center"/>
      <protection locked="0"/>
    </xf>
    <xf numFmtId="165" fontId="4" fillId="0" borderId="53" xfId="0" applyNumberFormat="1" applyFont="1" applyBorder="1" applyAlignment="1" applyProtection="1">
      <alignment horizontal="center"/>
      <protection locked="0"/>
    </xf>
    <xf numFmtId="165" fontId="4" fillId="0" borderId="54" xfId="0" applyNumberFormat="1" applyFont="1" applyBorder="1" applyAlignment="1" applyProtection="1">
      <alignment horizontal="center"/>
      <protection locked="0"/>
    </xf>
    <xf numFmtId="0" fontId="4" fillId="0" borderId="52" xfId="0" applyNumberFormat="1" applyFont="1" applyBorder="1" applyAlignment="1" applyProtection="1">
      <alignment horizontal="center"/>
      <protection locked="0"/>
    </xf>
    <xf numFmtId="0" fontId="4" fillId="0" borderId="53" xfId="0" applyNumberFormat="1" applyFont="1" applyBorder="1" applyAlignment="1" applyProtection="1">
      <alignment horizontal="center"/>
      <protection locked="0"/>
    </xf>
    <xf numFmtId="165" fontId="4" fillId="0" borderId="22" xfId="0" applyNumberFormat="1" applyFont="1" applyBorder="1" applyAlignment="1" applyProtection="1">
      <alignment horizontal="center"/>
      <protection locked="0"/>
    </xf>
    <xf numFmtId="0" fontId="4" fillId="33" borderId="21" xfId="0" applyNumberFormat="1" applyFont="1" applyFill="1" applyBorder="1" applyAlignment="1" applyProtection="1">
      <alignment horizontal="center"/>
      <protection locked="0"/>
    </xf>
    <xf numFmtId="18" fontId="4" fillId="33" borderId="21" xfId="0" applyNumberFormat="1" applyFont="1" applyFill="1" applyBorder="1" applyAlignment="1" applyProtection="1">
      <alignment horizontal="center"/>
      <protection locked="0"/>
    </xf>
    <xf numFmtId="0" fontId="4" fillId="34" borderId="18" xfId="0" applyFont="1" applyFill="1" applyBorder="1" applyAlignment="1">
      <alignment horizontal="center" wrapText="1"/>
    </xf>
    <xf numFmtId="0" fontId="4" fillId="34" borderId="19" xfId="0" applyFont="1" applyFill="1" applyBorder="1" applyAlignment="1">
      <alignment horizontal="center" wrapText="1"/>
    </xf>
    <xf numFmtId="0" fontId="77" fillId="34" borderId="25" xfId="0" applyFont="1" applyFill="1" applyBorder="1" applyAlignment="1" applyProtection="1">
      <alignment horizontal="center"/>
      <protection/>
    </xf>
    <xf numFmtId="0" fontId="77" fillId="34" borderId="33" xfId="0" applyFont="1" applyFill="1" applyBorder="1" applyAlignment="1" applyProtection="1">
      <alignment horizontal="center"/>
      <protection/>
    </xf>
    <xf numFmtId="0" fontId="4" fillId="34" borderId="18" xfId="0" applyFont="1" applyFill="1" applyBorder="1" applyAlignment="1">
      <alignment horizontal="right"/>
    </xf>
    <xf numFmtId="0" fontId="0" fillId="34" borderId="19" xfId="0" applyFill="1" applyBorder="1" applyAlignment="1">
      <alignment horizontal="right"/>
    </xf>
    <xf numFmtId="0" fontId="4" fillId="34" borderId="18" xfId="0" applyFont="1" applyFill="1" applyBorder="1" applyAlignment="1">
      <alignment horizontal="center"/>
    </xf>
    <xf numFmtId="0" fontId="4" fillId="34" borderId="19" xfId="0" applyFont="1" applyFill="1" applyBorder="1" applyAlignment="1">
      <alignment horizontal="center"/>
    </xf>
    <xf numFmtId="0" fontId="4" fillId="34" borderId="22" xfId="0" applyFont="1" applyFill="1" applyBorder="1" applyAlignment="1">
      <alignment horizontal="center"/>
    </xf>
    <xf numFmtId="0" fontId="4" fillId="34" borderId="21" xfId="0" applyFont="1" applyFill="1" applyBorder="1" applyAlignment="1">
      <alignment horizontal="center"/>
    </xf>
    <xf numFmtId="164" fontId="4" fillId="34" borderId="25" xfId="0" applyNumberFormat="1" applyFont="1" applyFill="1" applyBorder="1" applyAlignment="1" applyProtection="1">
      <alignment horizontal="center"/>
      <protection locked="0"/>
    </xf>
    <xf numFmtId="0" fontId="44" fillId="34" borderId="55" xfId="0" applyFont="1" applyFill="1" applyBorder="1" applyAlignment="1">
      <alignment horizontal="center"/>
    </xf>
    <xf numFmtId="2" fontId="4" fillId="34" borderId="56" xfId="0" applyNumberFormat="1" applyFont="1" applyFill="1" applyBorder="1" applyAlignment="1" applyProtection="1">
      <alignment horizontal="center"/>
      <protection locked="0"/>
    </xf>
    <xf numFmtId="0" fontId="44" fillId="34" borderId="33" xfId="0" applyFont="1" applyFill="1" applyBorder="1" applyAlignment="1">
      <alignment horizontal="center"/>
    </xf>
    <xf numFmtId="165" fontId="4" fillId="34" borderId="25" xfId="0" applyNumberFormat="1" applyFont="1" applyFill="1" applyBorder="1" applyAlignment="1" applyProtection="1">
      <alignment horizontal="center"/>
      <protection locked="0"/>
    </xf>
    <xf numFmtId="0" fontId="4" fillId="33" borderId="0" xfId="0" applyFont="1" applyFill="1" applyBorder="1" applyAlignment="1">
      <alignment horizontal="right"/>
    </xf>
    <xf numFmtId="0" fontId="0" fillId="0" borderId="0" xfId="0" applyBorder="1" applyAlignment="1">
      <alignment horizontal="right"/>
    </xf>
    <xf numFmtId="0" fontId="0" fillId="0" borderId="20" xfId="0" applyBorder="1" applyAlignment="1">
      <alignment horizontal="right"/>
    </xf>
    <xf numFmtId="49" fontId="8" fillId="34" borderId="18" xfId="0" applyNumberFormat="1" applyFont="1" applyFill="1" applyBorder="1" applyAlignment="1">
      <alignment horizontal="center"/>
    </xf>
    <xf numFmtId="2" fontId="4" fillId="34" borderId="11" xfId="0" applyNumberFormat="1" applyFont="1" applyFill="1" applyBorder="1" applyAlignment="1" applyProtection="1">
      <alignment horizontal="center"/>
      <protection locked="0"/>
    </xf>
    <xf numFmtId="0" fontId="44" fillId="34" borderId="12" xfId="0" applyFont="1" applyFill="1" applyBorder="1" applyAlignment="1">
      <alignment horizontal="center"/>
    </xf>
    <xf numFmtId="2" fontId="4" fillId="34" borderId="10" xfId="0" applyNumberFormat="1" applyFont="1" applyFill="1" applyBorder="1" applyAlignment="1" applyProtection="1">
      <alignment horizontal="center" wrapText="1"/>
      <protection locked="0"/>
    </xf>
    <xf numFmtId="0" fontId="44" fillId="34" borderId="12" xfId="0" applyFont="1" applyFill="1" applyBorder="1" applyAlignment="1">
      <alignment horizontal="center" wrapText="1"/>
    </xf>
    <xf numFmtId="0" fontId="0" fillId="34" borderId="25" xfId="0" applyFill="1" applyBorder="1" applyAlignment="1">
      <alignment horizontal="center" wrapText="1"/>
    </xf>
    <xf numFmtId="0" fontId="0" fillId="34" borderId="33" xfId="0" applyFill="1" applyBorder="1" applyAlignment="1">
      <alignment horizontal="center" wrapText="1"/>
    </xf>
    <xf numFmtId="0" fontId="0" fillId="34" borderId="23" xfId="0" applyFill="1" applyBorder="1" applyAlignment="1">
      <alignment horizontal="center" wrapText="1"/>
    </xf>
    <xf numFmtId="0" fontId="0" fillId="34" borderId="26" xfId="0" applyFill="1" applyBorder="1" applyAlignment="1">
      <alignment horizontal="center" wrapText="1"/>
    </xf>
    <xf numFmtId="49" fontId="4" fillId="34" borderId="18" xfId="0" applyNumberFormat="1" applyFont="1" applyFill="1" applyBorder="1" applyAlignment="1" applyProtection="1">
      <alignment/>
      <protection locked="0"/>
    </xf>
    <xf numFmtId="0" fontId="44" fillId="34" borderId="21" xfId="0" applyFont="1" applyFill="1" applyBorder="1" applyAlignment="1">
      <alignment/>
    </xf>
    <xf numFmtId="0" fontId="44" fillId="34" borderId="19" xfId="0" applyFont="1" applyFill="1" applyBorder="1" applyAlignment="1">
      <alignment/>
    </xf>
    <xf numFmtId="165" fontId="4" fillId="34" borderId="10" xfId="0" applyNumberFormat="1" applyFont="1" applyFill="1" applyBorder="1" applyAlignment="1" applyProtection="1">
      <alignment/>
      <protection locked="0"/>
    </xf>
    <xf numFmtId="0" fontId="44" fillId="34" borderId="12" xfId="0" applyFont="1" applyFill="1" applyBorder="1" applyAlignment="1">
      <alignment/>
    </xf>
    <xf numFmtId="164" fontId="4" fillId="34" borderId="10" xfId="0" applyNumberFormat="1" applyFont="1" applyFill="1" applyBorder="1" applyAlignment="1" applyProtection="1">
      <alignment/>
      <protection locked="0"/>
    </xf>
    <xf numFmtId="0" fontId="44" fillId="34" borderId="57" xfId="0" applyFont="1" applyFill="1" applyBorder="1" applyAlignment="1">
      <alignment/>
    </xf>
    <xf numFmtId="1" fontId="4" fillId="34" borderId="10" xfId="0" applyNumberFormat="1" applyFont="1" applyFill="1" applyBorder="1" applyAlignment="1" applyProtection="1">
      <alignment/>
      <protection/>
    </xf>
    <xf numFmtId="0" fontId="4" fillId="34" borderId="41" xfId="0" applyNumberFormat="1" applyFont="1" applyFill="1" applyBorder="1" applyAlignment="1" applyProtection="1">
      <alignment/>
      <protection/>
    </xf>
    <xf numFmtId="0" fontId="4" fillId="34" borderId="43" xfId="0" applyNumberFormat="1" applyFont="1" applyFill="1" applyBorder="1" applyAlignment="1" applyProtection="1">
      <alignment/>
      <protection/>
    </xf>
    <xf numFmtId="0" fontId="4" fillId="34" borderId="24" xfId="0" applyNumberFormat="1" applyFont="1" applyFill="1" applyBorder="1" applyAlignment="1" applyProtection="1">
      <alignment horizontal="center"/>
      <protection/>
    </xf>
    <xf numFmtId="0" fontId="4" fillId="34" borderId="12" xfId="0" applyNumberFormat="1" applyFont="1" applyFill="1" applyBorder="1" applyAlignment="1" applyProtection="1">
      <alignment horizontal="center"/>
      <protection/>
    </xf>
    <xf numFmtId="0" fontId="4" fillId="34" borderId="10" xfId="0" applyNumberFormat="1" applyFont="1" applyFill="1" applyBorder="1" applyAlignment="1" applyProtection="1">
      <alignment horizontal="center"/>
      <protection/>
    </xf>
    <xf numFmtId="0" fontId="91" fillId="34" borderId="0" xfId="0" applyNumberFormat="1" applyFont="1" applyFill="1" applyBorder="1" applyAlignment="1" applyProtection="1">
      <alignment horizontal="center"/>
      <protection/>
    </xf>
    <xf numFmtId="0" fontId="88" fillId="35" borderId="23" xfId="0" applyFont="1" applyFill="1" applyBorder="1" applyAlignment="1" applyProtection="1">
      <alignment/>
      <protection locked="0"/>
    </xf>
    <xf numFmtId="0" fontId="88" fillId="0" borderId="24" xfId="0" applyFont="1" applyBorder="1" applyAlignment="1" applyProtection="1">
      <alignment/>
      <protection locked="0"/>
    </xf>
    <xf numFmtId="0" fontId="88" fillId="0" borderId="26" xfId="0" applyFont="1" applyBorder="1" applyAlignment="1" applyProtection="1">
      <alignment/>
      <protection locked="0"/>
    </xf>
    <xf numFmtId="0" fontId="4" fillId="34" borderId="23" xfId="0" applyNumberFormat="1" applyFont="1" applyFill="1" applyBorder="1" applyAlignment="1" applyProtection="1">
      <alignment/>
      <protection/>
    </xf>
    <xf numFmtId="0" fontId="44" fillId="34" borderId="24" xfId="0" applyNumberFormat="1" applyFont="1" applyFill="1" applyBorder="1" applyAlignment="1" applyProtection="1">
      <alignment/>
      <protection/>
    </xf>
    <xf numFmtId="0" fontId="44" fillId="34" borderId="26" xfId="0" applyNumberFormat="1" applyFont="1" applyFill="1" applyBorder="1" applyAlignment="1" applyProtection="1">
      <alignment/>
      <protection/>
    </xf>
    <xf numFmtId="49" fontId="8" fillId="34" borderId="21" xfId="0" applyNumberFormat="1" applyFont="1" applyFill="1" applyBorder="1" applyAlignment="1">
      <alignment horizontal="center"/>
    </xf>
    <xf numFmtId="49" fontId="77" fillId="33" borderId="21" xfId="0" applyNumberFormat="1"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0" fillId="34" borderId="26" xfId="0" applyFill="1" applyBorder="1" applyAlignment="1">
      <alignment/>
    </xf>
    <xf numFmtId="165" fontId="91" fillId="34" borderId="0" xfId="0" applyNumberFormat="1" applyFont="1" applyFill="1" applyBorder="1" applyAlignment="1" applyProtection="1">
      <alignment horizontal="center"/>
      <protection/>
    </xf>
    <xf numFmtId="0" fontId="90" fillId="34" borderId="0" xfId="0" applyNumberFormat="1" applyFont="1" applyFill="1" applyBorder="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209550</xdr:colOff>
      <xdr:row>5</xdr:row>
      <xdr:rowOff>57150</xdr:rowOff>
    </xdr:to>
    <xdr:pic>
      <xdr:nvPicPr>
        <xdr:cNvPr id="1" name="Picture 1"/>
        <xdr:cNvPicPr preferRelativeResize="1">
          <a:picLocks noChangeAspect="1"/>
        </xdr:cNvPicPr>
      </xdr:nvPicPr>
      <xdr:blipFill>
        <a:blip r:embed="rId1"/>
        <a:stretch>
          <a:fillRect/>
        </a:stretch>
      </xdr:blipFill>
      <xdr:spPr>
        <a:xfrm>
          <a:off x="38100" y="19050"/>
          <a:ext cx="8001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171450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8001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209550</xdr:colOff>
      <xdr:row>5</xdr:row>
      <xdr:rowOff>57150</xdr:rowOff>
    </xdr:to>
    <xdr:pic>
      <xdr:nvPicPr>
        <xdr:cNvPr id="1" name="Picture 1"/>
        <xdr:cNvPicPr preferRelativeResize="1">
          <a:picLocks noChangeAspect="1"/>
        </xdr:cNvPicPr>
      </xdr:nvPicPr>
      <xdr:blipFill>
        <a:blip r:embed="rId1"/>
        <a:stretch>
          <a:fillRect/>
        </a:stretch>
      </xdr:blipFill>
      <xdr:spPr>
        <a:xfrm>
          <a:off x="38100" y="19050"/>
          <a:ext cx="8001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209550</xdr:colOff>
      <xdr:row>5</xdr:row>
      <xdr:rowOff>57150</xdr:rowOff>
    </xdr:to>
    <xdr:pic>
      <xdr:nvPicPr>
        <xdr:cNvPr id="1" name="Picture 1"/>
        <xdr:cNvPicPr preferRelativeResize="1">
          <a:picLocks noChangeAspect="1"/>
        </xdr:cNvPicPr>
      </xdr:nvPicPr>
      <xdr:blipFill>
        <a:blip r:embed="rId1"/>
        <a:stretch>
          <a:fillRect/>
        </a:stretch>
      </xdr:blipFill>
      <xdr:spPr>
        <a:xfrm>
          <a:off x="38100" y="19050"/>
          <a:ext cx="8001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gov/idem/cleanwater/2422.htm" TargetMode="External" /><Relationship Id="rId2" Type="http://schemas.openxmlformats.org/officeDocument/2006/relationships/hyperlink" Target="http://in.gov/idem/cleanwater/2455.htm" TargetMode="External" /><Relationship Id="rId3" Type="http://schemas.openxmlformats.org/officeDocument/2006/relationships/hyperlink" Target="https://netdmr.epa.gov/netdmr/public/home.ht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76"/>
  <sheetViews>
    <sheetView zoomScale="75" zoomScaleNormal="75" zoomScalePageLayoutView="0" workbookViewId="0" topLeftCell="A1">
      <selection activeCell="H65" sqref="H65"/>
    </sheetView>
  </sheetViews>
  <sheetFormatPr defaultColWidth="9.140625" defaultRowHeight="15"/>
  <cols>
    <col min="1" max="1" width="135.00390625" style="201" customWidth="1"/>
    <col min="2" max="2" width="9.140625" style="201" customWidth="1"/>
    <col min="3" max="8" width="8.7109375" style="201" customWidth="1"/>
    <col min="9" max="10" width="9.140625" style="201" customWidth="1"/>
    <col min="11" max="11" width="10.28125" style="201" customWidth="1"/>
    <col min="12" max="14" width="9.140625" style="201" customWidth="1"/>
    <col min="15" max="15" width="29.421875" style="201" customWidth="1"/>
    <col min="16" max="16" width="9.140625" style="201" customWidth="1"/>
    <col min="17" max="17" width="11.00390625" style="201" customWidth="1"/>
    <col min="18" max="16384" width="9.140625" style="201" customWidth="1"/>
  </cols>
  <sheetData>
    <row r="1" spans="1:9" ht="15">
      <c r="A1" s="313" t="s">
        <v>158</v>
      </c>
      <c r="B1" s="266"/>
      <c r="C1" s="266"/>
      <c r="D1" s="266"/>
      <c r="E1" s="266"/>
      <c r="F1" s="266"/>
      <c r="G1" s="266"/>
      <c r="H1" s="266"/>
      <c r="I1" s="266"/>
    </row>
    <row r="2" spans="1:9" ht="29.25" customHeight="1">
      <c r="A2" s="314"/>
      <c r="B2" s="266"/>
      <c r="C2" s="266"/>
      <c r="D2" s="266"/>
      <c r="E2" s="266"/>
      <c r="F2" s="266"/>
      <c r="G2" s="266"/>
      <c r="H2" s="266"/>
      <c r="I2" s="267"/>
    </row>
    <row r="3" spans="1:9" ht="15">
      <c r="A3" s="268"/>
      <c r="B3" s="266"/>
      <c r="C3" s="266"/>
      <c r="D3" s="266"/>
      <c r="E3" s="266"/>
      <c r="F3" s="266"/>
      <c r="G3" s="266"/>
      <c r="H3" s="266"/>
      <c r="I3" s="266"/>
    </row>
    <row r="4" spans="1:9" ht="15">
      <c r="A4" s="268"/>
      <c r="B4" s="266"/>
      <c r="C4" s="266"/>
      <c r="D4" s="266"/>
      <c r="E4" s="266"/>
      <c r="F4" s="266"/>
      <c r="G4" s="266"/>
      <c r="H4" s="266"/>
      <c r="I4" s="266"/>
    </row>
    <row r="5" spans="1:9" ht="48.75" customHeight="1">
      <c r="A5" s="269" t="s">
        <v>122</v>
      </c>
      <c r="B5" s="266"/>
      <c r="C5" s="266"/>
      <c r="D5" s="266"/>
      <c r="E5" s="266"/>
      <c r="F5" s="266"/>
      <c r="G5" s="266"/>
      <c r="H5" s="266"/>
      <c r="I5" s="266"/>
    </row>
    <row r="6" spans="1:9" ht="41.25" customHeight="1">
      <c r="A6" s="270" t="s">
        <v>123</v>
      </c>
      <c r="B6" s="266"/>
      <c r="C6" s="266"/>
      <c r="D6" s="266"/>
      <c r="E6" s="266"/>
      <c r="F6" s="266"/>
      <c r="G6" s="266"/>
      <c r="H6" s="266"/>
      <c r="I6" s="266"/>
    </row>
    <row r="7" spans="1:9" ht="27" customHeight="1">
      <c r="A7" s="270" t="s">
        <v>121</v>
      </c>
      <c r="B7" s="266"/>
      <c r="C7" s="266"/>
      <c r="D7" s="266"/>
      <c r="E7" s="266"/>
      <c r="F7" s="266"/>
      <c r="G7" s="266"/>
      <c r="H7" s="266"/>
      <c r="I7" s="266"/>
    </row>
    <row r="8" spans="1:9" ht="39.75" customHeight="1">
      <c r="A8" s="270" t="s">
        <v>125</v>
      </c>
      <c r="B8" s="266"/>
      <c r="C8" s="266"/>
      <c r="D8" s="266"/>
      <c r="E8" s="266"/>
      <c r="F8" s="266"/>
      <c r="G8" s="266"/>
      <c r="H8" s="266"/>
      <c r="I8" s="266"/>
    </row>
    <row r="9" spans="1:9" ht="58.5" customHeight="1">
      <c r="A9" s="270" t="s">
        <v>124</v>
      </c>
      <c r="B9" s="266"/>
      <c r="C9" s="266"/>
      <c r="D9" s="266"/>
      <c r="E9" s="266"/>
      <c r="F9" s="266"/>
      <c r="G9" s="266"/>
      <c r="H9" s="266"/>
      <c r="I9" s="266"/>
    </row>
    <row r="10" spans="1:9" ht="78.75" customHeight="1">
      <c r="A10" s="270" t="s">
        <v>141</v>
      </c>
      <c r="B10" s="266"/>
      <c r="C10" s="266"/>
      <c r="D10" s="266"/>
      <c r="E10" s="266"/>
      <c r="F10" s="266"/>
      <c r="G10" s="266"/>
      <c r="H10" s="266"/>
      <c r="I10" s="266"/>
    </row>
    <row r="11" spans="1:9" ht="23.25" customHeight="1" hidden="1">
      <c r="A11" s="271" t="s">
        <v>156</v>
      </c>
      <c r="B11" s="266"/>
      <c r="C11" s="266"/>
      <c r="D11" s="266"/>
      <c r="E11" s="266"/>
      <c r="F11" s="266"/>
      <c r="G11" s="266"/>
      <c r="H11" s="266"/>
      <c r="I11" s="266"/>
    </row>
    <row r="12" spans="1:9" ht="87" customHeight="1" hidden="1">
      <c r="A12" s="272" t="s">
        <v>155</v>
      </c>
      <c r="B12" s="266"/>
      <c r="C12" s="266"/>
      <c r="D12" s="266"/>
      <c r="E12" s="266"/>
      <c r="F12" s="266"/>
      <c r="G12" s="266"/>
      <c r="H12" s="266"/>
      <c r="I12" s="266"/>
    </row>
    <row r="13" spans="1:9" ht="19.5" customHeight="1" hidden="1">
      <c r="A13" s="271" t="s">
        <v>157</v>
      </c>
      <c r="B13" s="266"/>
      <c r="C13" s="266"/>
      <c r="D13" s="266"/>
      <c r="E13" s="266"/>
      <c r="F13" s="266"/>
      <c r="G13" s="266"/>
      <c r="H13" s="266"/>
      <c r="I13" s="266"/>
    </row>
    <row r="14" spans="1:9" ht="72.75" customHeight="1">
      <c r="A14" s="273" t="s">
        <v>171</v>
      </c>
      <c r="B14" s="266"/>
      <c r="C14" s="266"/>
      <c r="D14" s="266"/>
      <c r="E14" s="266"/>
      <c r="F14" s="266"/>
      <c r="G14" s="266"/>
      <c r="H14" s="266"/>
      <c r="I14" s="266"/>
    </row>
    <row r="15" spans="1:9" ht="66" customHeight="1">
      <c r="A15" s="270" t="s">
        <v>142</v>
      </c>
      <c r="B15" s="266"/>
      <c r="C15" s="266"/>
      <c r="D15" s="266"/>
      <c r="E15" s="266"/>
      <c r="F15" s="266"/>
      <c r="G15" s="266"/>
      <c r="H15" s="266"/>
      <c r="I15" s="266"/>
    </row>
    <row r="16" spans="1:9" ht="59.25" customHeight="1">
      <c r="A16" s="274" t="s">
        <v>154</v>
      </c>
      <c r="B16" s="266"/>
      <c r="C16" s="266"/>
      <c r="D16" s="266"/>
      <c r="E16" s="266"/>
      <c r="F16" s="266"/>
      <c r="G16" s="266"/>
      <c r="H16" s="266"/>
      <c r="I16" s="266"/>
    </row>
    <row r="17" spans="1:9" ht="49.5" customHeight="1">
      <c r="A17" s="270" t="s">
        <v>143</v>
      </c>
      <c r="B17" s="266"/>
      <c r="C17" s="266"/>
      <c r="D17" s="266"/>
      <c r="E17" s="266"/>
      <c r="F17" s="266"/>
      <c r="G17" s="266"/>
      <c r="H17" s="266"/>
      <c r="I17" s="266"/>
    </row>
    <row r="18" spans="1:9" ht="57" customHeight="1">
      <c r="A18" s="270" t="s">
        <v>144</v>
      </c>
      <c r="B18" s="266"/>
      <c r="C18" s="266"/>
      <c r="D18" s="266"/>
      <c r="E18" s="266"/>
      <c r="F18" s="266"/>
      <c r="G18" s="266"/>
      <c r="H18" s="266"/>
      <c r="I18" s="266"/>
    </row>
    <row r="19" spans="1:9" ht="22.5" customHeight="1">
      <c r="A19" s="270" t="s">
        <v>145</v>
      </c>
      <c r="B19" s="266"/>
      <c r="C19" s="266"/>
      <c r="D19" s="266"/>
      <c r="E19" s="266"/>
      <c r="F19" s="266"/>
      <c r="G19" s="266"/>
      <c r="H19" s="266"/>
      <c r="I19" s="266"/>
    </row>
    <row r="20" spans="1:9" ht="24.75" customHeight="1">
      <c r="A20" s="251" t="s">
        <v>148</v>
      </c>
      <c r="B20" s="266"/>
      <c r="C20" s="266"/>
      <c r="D20" s="266"/>
      <c r="E20" s="266"/>
      <c r="F20" s="266"/>
      <c r="G20" s="266"/>
      <c r="H20" s="266"/>
      <c r="I20" s="266"/>
    </row>
    <row r="21" spans="1:9" ht="19.5" customHeight="1">
      <c r="A21" s="270"/>
      <c r="B21" s="266"/>
      <c r="C21" s="266"/>
      <c r="D21" s="266"/>
      <c r="E21" s="266"/>
      <c r="F21" s="266"/>
      <c r="G21" s="266"/>
      <c r="H21" s="266"/>
      <c r="I21" s="266"/>
    </row>
    <row r="22" spans="1:9" ht="23.25" customHeight="1">
      <c r="A22" s="270" t="s">
        <v>146</v>
      </c>
      <c r="B22" s="266"/>
      <c r="C22" s="266"/>
      <c r="D22" s="266"/>
      <c r="E22" s="266"/>
      <c r="F22" s="266"/>
      <c r="G22" s="266"/>
      <c r="H22" s="266"/>
      <c r="I22" s="266"/>
    </row>
    <row r="23" spans="1:9" ht="27.75" customHeight="1">
      <c r="A23" s="251" t="s">
        <v>147</v>
      </c>
      <c r="B23" s="266"/>
      <c r="C23" s="266"/>
      <c r="D23" s="266"/>
      <c r="E23" s="266"/>
      <c r="F23" s="266"/>
      <c r="G23" s="266"/>
      <c r="H23" s="266"/>
      <c r="I23" s="266"/>
    </row>
    <row r="24" spans="1:9" ht="20.25" customHeight="1">
      <c r="A24" s="270"/>
      <c r="B24" s="266"/>
      <c r="C24" s="266"/>
      <c r="D24" s="266"/>
      <c r="E24" s="266"/>
      <c r="F24" s="266"/>
      <c r="G24" s="266"/>
      <c r="H24" s="266"/>
      <c r="I24" s="266"/>
    </row>
    <row r="25" spans="1:9" ht="33" customHeight="1" thickBot="1">
      <c r="A25" s="275" t="s">
        <v>173</v>
      </c>
      <c r="B25" s="266"/>
      <c r="C25" s="266"/>
      <c r="D25" s="266"/>
      <c r="E25" s="266"/>
      <c r="F25" s="266"/>
      <c r="G25" s="266"/>
      <c r="H25" s="266"/>
      <c r="I25" s="266"/>
    </row>
    <row r="26" spans="1:9" ht="24.75" customHeight="1" thickTop="1">
      <c r="A26" s="276"/>
      <c r="B26" s="266"/>
      <c r="C26" s="266"/>
      <c r="D26" s="266"/>
      <c r="E26" s="266"/>
      <c r="F26" s="266"/>
      <c r="G26" s="266"/>
      <c r="H26" s="266"/>
      <c r="I26" s="266"/>
    </row>
    <row r="27" spans="1:9" ht="23.25" customHeight="1">
      <c r="A27" s="277" t="s">
        <v>126</v>
      </c>
      <c r="B27" s="266"/>
      <c r="C27" s="266"/>
      <c r="D27" s="266"/>
      <c r="E27" s="266"/>
      <c r="F27" s="266"/>
      <c r="G27" s="266"/>
      <c r="H27" s="266"/>
      <c r="I27" s="266"/>
    </row>
    <row r="28" spans="1:9" ht="32.25" customHeight="1">
      <c r="A28" s="270"/>
      <c r="B28" s="266"/>
      <c r="C28" s="266"/>
      <c r="D28" s="266"/>
      <c r="E28" s="266"/>
      <c r="F28" s="266"/>
      <c r="G28" s="266"/>
      <c r="H28" s="266"/>
      <c r="I28" s="266"/>
    </row>
    <row r="29" spans="1:9" ht="89.25" customHeight="1">
      <c r="A29" s="270" t="s">
        <v>128</v>
      </c>
      <c r="B29" s="266"/>
      <c r="C29" s="266"/>
      <c r="D29" s="266"/>
      <c r="E29" s="266"/>
      <c r="F29" s="266"/>
      <c r="G29" s="266"/>
      <c r="H29" s="266"/>
      <c r="I29" s="266"/>
    </row>
    <row r="30" spans="1:9" ht="36" customHeight="1">
      <c r="A30" s="270" t="s">
        <v>129</v>
      </c>
      <c r="B30" s="266"/>
      <c r="C30" s="266"/>
      <c r="D30" s="266"/>
      <c r="E30" s="266"/>
      <c r="F30" s="266"/>
      <c r="G30" s="266"/>
      <c r="H30" s="266"/>
      <c r="I30" s="266"/>
    </row>
    <row r="31" spans="1:9" ht="24.75" customHeight="1">
      <c r="A31" s="270" t="s">
        <v>127</v>
      </c>
      <c r="B31" s="266"/>
      <c r="C31" s="266"/>
      <c r="D31" s="266"/>
      <c r="E31" s="266"/>
      <c r="F31" s="266"/>
      <c r="G31" s="266"/>
      <c r="H31" s="266"/>
      <c r="I31" s="266"/>
    </row>
    <row r="32" spans="1:9" ht="37.5" customHeight="1">
      <c r="A32" s="270" t="s">
        <v>130</v>
      </c>
      <c r="B32" s="266"/>
      <c r="C32" s="266"/>
      <c r="D32" s="266"/>
      <c r="E32" s="266"/>
      <c r="F32" s="266"/>
      <c r="G32" s="266"/>
      <c r="H32" s="266"/>
      <c r="I32" s="266"/>
    </row>
    <row r="33" spans="1:9" ht="24.75" customHeight="1">
      <c r="A33" s="270" t="s">
        <v>131</v>
      </c>
      <c r="B33" s="266"/>
      <c r="C33" s="266"/>
      <c r="D33" s="266"/>
      <c r="E33" s="266"/>
      <c r="F33" s="266"/>
      <c r="G33" s="266"/>
      <c r="H33" s="266"/>
      <c r="I33" s="266"/>
    </row>
    <row r="34" spans="1:9" ht="24" customHeight="1">
      <c r="A34" s="270" t="s">
        <v>132</v>
      </c>
      <c r="B34" s="266"/>
      <c r="C34" s="266"/>
      <c r="D34" s="266"/>
      <c r="E34" s="266"/>
      <c r="F34" s="266"/>
      <c r="G34" s="266"/>
      <c r="H34" s="266"/>
      <c r="I34" s="266"/>
    </row>
    <row r="35" spans="1:9" ht="18.75" customHeight="1">
      <c r="A35" s="270" t="s">
        <v>133</v>
      </c>
      <c r="B35" s="266"/>
      <c r="C35" s="266"/>
      <c r="D35" s="266"/>
      <c r="E35" s="266"/>
      <c r="F35" s="266"/>
      <c r="G35" s="266"/>
      <c r="H35" s="266"/>
      <c r="I35" s="266"/>
    </row>
    <row r="36" spans="1:9" ht="24" customHeight="1">
      <c r="A36" s="270" t="s">
        <v>119</v>
      </c>
      <c r="B36" s="266"/>
      <c r="C36" s="266"/>
      <c r="D36" s="266"/>
      <c r="E36" s="266"/>
      <c r="F36" s="266"/>
      <c r="G36" s="266"/>
      <c r="H36" s="266"/>
      <c r="I36" s="266"/>
    </row>
    <row r="37" spans="1:9" ht="42" customHeight="1">
      <c r="A37" s="270" t="s">
        <v>159</v>
      </c>
      <c r="B37" s="266"/>
      <c r="C37" s="266"/>
      <c r="D37" s="266"/>
      <c r="E37" s="266"/>
      <c r="F37" s="266"/>
      <c r="G37" s="266"/>
      <c r="H37" s="266"/>
      <c r="I37" s="266"/>
    </row>
    <row r="38" spans="1:9" ht="24.75" customHeight="1">
      <c r="A38" s="270" t="s">
        <v>118</v>
      </c>
      <c r="B38" s="266"/>
      <c r="C38" s="266"/>
      <c r="D38" s="266"/>
      <c r="E38" s="266"/>
      <c r="F38" s="266"/>
      <c r="G38" s="266"/>
      <c r="H38" s="266"/>
      <c r="I38" s="266"/>
    </row>
    <row r="39" spans="1:9" ht="24.75" customHeight="1">
      <c r="A39" s="270" t="s">
        <v>120</v>
      </c>
      <c r="B39" s="266"/>
      <c r="C39" s="266"/>
      <c r="D39" s="266"/>
      <c r="E39" s="266"/>
      <c r="F39" s="266"/>
      <c r="G39" s="266"/>
      <c r="H39" s="266"/>
      <c r="I39" s="266"/>
    </row>
    <row r="40" spans="1:9" ht="38.25" customHeight="1">
      <c r="A40" s="270" t="s">
        <v>134</v>
      </c>
      <c r="B40" s="266"/>
      <c r="C40" s="266"/>
      <c r="D40" s="266"/>
      <c r="E40" s="266"/>
      <c r="F40" s="266"/>
      <c r="G40" s="266"/>
      <c r="H40" s="266"/>
      <c r="I40" s="266"/>
    </row>
    <row r="41" spans="1:9" ht="44.25" customHeight="1">
      <c r="A41" s="270" t="s">
        <v>135</v>
      </c>
      <c r="B41" s="266"/>
      <c r="C41" s="266"/>
      <c r="D41" s="266"/>
      <c r="E41" s="266"/>
      <c r="F41" s="266"/>
      <c r="G41" s="266"/>
      <c r="H41" s="266"/>
      <c r="I41" s="266"/>
    </row>
    <row r="42" spans="1:9" ht="20.25" customHeight="1">
      <c r="A42" s="270" t="s">
        <v>136</v>
      </c>
      <c r="B42" s="266"/>
      <c r="C42" s="266"/>
      <c r="D42" s="266"/>
      <c r="E42" s="266"/>
      <c r="F42" s="266"/>
      <c r="G42" s="266"/>
      <c r="H42" s="266"/>
      <c r="I42" s="266"/>
    </row>
    <row r="43" spans="1:9" ht="36" customHeight="1">
      <c r="A43" s="270" t="s">
        <v>137</v>
      </c>
      <c r="B43" s="266"/>
      <c r="C43" s="266"/>
      <c r="D43" s="266"/>
      <c r="E43" s="266"/>
      <c r="F43" s="266"/>
      <c r="G43" s="266"/>
      <c r="H43" s="266"/>
      <c r="I43" s="266"/>
    </row>
    <row r="44" spans="1:9" ht="40.5" customHeight="1">
      <c r="A44" s="270" t="s">
        <v>138</v>
      </c>
      <c r="B44" s="266"/>
      <c r="C44" s="266"/>
      <c r="D44" s="266"/>
      <c r="E44" s="266"/>
      <c r="F44" s="266"/>
      <c r="G44" s="266"/>
      <c r="H44" s="266"/>
      <c r="I44" s="266"/>
    </row>
    <row r="45" spans="1:9" ht="18.75" customHeight="1">
      <c r="A45" s="270" t="s">
        <v>139</v>
      </c>
      <c r="B45" s="266"/>
      <c r="C45" s="266"/>
      <c r="D45" s="266"/>
      <c r="E45" s="266"/>
      <c r="F45" s="266"/>
      <c r="G45" s="266"/>
      <c r="H45" s="266"/>
      <c r="I45" s="266"/>
    </row>
    <row r="46" spans="1:9" ht="27" customHeight="1">
      <c r="A46" s="252" t="s">
        <v>140</v>
      </c>
      <c r="B46" s="266"/>
      <c r="C46" s="266"/>
      <c r="D46" s="266"/>
      <c r="E46" s="266"/>
      <c r="F46" s="266"/>
      <c r="G46" s="266"/>
      <c r="H46" s="266"/>
      <c r="I46" s="266"/>
    </row>
    <row r="47" spans="1:9" ht="27" customHeight="1">
      <c r="A47" s="270" t="s">
        <v>149</v>
      </c>
      <c r="B47" s="266"/>
      <c r="C47" s="266"/>
      <c r="D47" s="266"/>
      <c r="E47" s="266"/>
      <c r="F47" s="266"/>
      <c r="G47" s="266"/>
      <c r="H47" s="266"/>
      <c r="I47" s="266"/>
    </row>
    <row r="48" spans="1:9" ht="27" customHeight="1">
      <c r="A48" s="270" t="s">
        <v>150</v>
      </c>
      <c r="B48" s="266"/>
      <c r="C48" s="266"/>
      <c r="D48" s="266"/>
      <c r="E48" s="266"/>
      <c r="F48" s="266"/>
      <c r="G48" s="266"/>
      <c r="H48" s="266"/>
      <c r="I48" s="266"/>
    </row>
    <row r="49" spans="1:9" ht="27" customHeight="1">
      <c r="A49" s="270" t="s">
        <v>151</v>
      </c>
      <c r="B49" s="266"/>
      <c r="C49" s="266"/>
      <c r="D49" s="266"/>
      <c r="E49" s="266"/>
      <c r="F49" s="266"/>
      <c r="G49" s="266"/>
      <c r="H49" s="266"/>
      <c r="I49" s="266"/>
    </row>
    <row r="50" spans="1:9" ht="39" customHeight="1">
      <c r="A50" s="270" t="s">
        <v>152</v>
      </c>
      <c r="B50" s="266"/>
      <c r="C50" s="266"/>
      <c r="D50" s="266"/>
      <c r="E50" s="266"/>
      <c r="F50" s="266"/>
      <c r="G50" s="266"/>
      <c r="H50" s="266"/>
      <c r="I50" s="266"/>
    </row>
    <row r="51" spans="1:9" ht="64.5" customHeight="1">
      <c r="A51" s="270" t="s">
        <v>153</v>
      </c>
      <c r="B51" s="266"/>
      <c r="C51" s="266"/>
      <c r="D51" s="266"/>
      <c r="E51" s="266"/>
      <c r="F51" s="266"/>
      <c r="G51" s="266"/>
      <c r="H51" s="266"/>
      <c r="I51" s="266"/>
    </row>
    <row r="52" spans="1:9" ht="13.5" customHeight="1">
      <c r="A52" s="270"/>
      <c r="B52" s="266"/>
      <c r="C52" s="266"/>
      <c r="D52" s="266"/>
      <c r="E52" s="266"/>
      <c r="F52" s="266"/>
      <c r="G52" s="266"/>
      <c r="H52" s="266"/>
      <c r="I52" s="266"/>
    </row>
    <row r="53" ht="15" customHeight="1" thickBot="1">
      <c r="A53" s="275" t="s">
        <v>174</v>
      </c>
    </row>
    <row r="62" spans="11:17" ht="15">
      <c r="K62" s="310"/>
      <c r="L62" s="310"/>
      <c r="M62" s="310"/>
      <c r="N62" s="310"/>
      <c r="O62" s="310"/>
      <c r="P62" s="310"/>
      <c r="Q62" s="310"/>
    </row>
    <row r="63" spans="11:17" ht="15">
      <c r="K63" s="311" t="s">
        <v>83</v>
      </c>
      <c r="L63" s="311"/>
      <c r="M63" s="311" t="s">
        <v>106</v>
      </c>
      <c r="N63" s="311"/>
      <c r="O63" s="311" t="s">
        <v>107</v>
      </c>
      <c r="P63" s="311"/>
      <c r="Q63" s="311" t="s">
        <v>108</v>
      </c>
    </row>
    <row r="64" spans="11:17" ht="15">
      <c r="K64" s="311"/>
      <c r="L64" s="311"/>
      <c r="M64" s="311"/>
      <c r="N64" s="311"/>
      <c r="O64" s="278"/>
      <c r="P64" s="278"/>
      <c r="Q64" s="278"/>
    </row>
    <row r="65" spans="11:17" ht="15">
      <c r="K65" s="279"/>
      <c r="L65" s="311"/>
      <c r="M65" s="279" t="s">
        <v>71</v>
      </c>
      <c r="N65" s="311"/>
      <c r="O65" s="278" t="s">
        <v>102</v>
      </c>
      <c r="P65" s="278"/>
      <c r="Q65" s="278" t="s">
        <v>105</v>
      </c>
    </row>
    <row r="66" spans="11:17" ht="15">
      <c r="K66" s="279" t="s">
        <v>112</v>
      </c>
      <c r="L66" s="311"/>
      <c r="M66" s="311" t="s">
        <v>65</v>
      </c>
      <c r="N66" s="311"/>
      <c r="O66" s="278" t="s">
        <v>103</v>
      </c>
      <c r="P66" s="278"/>
      <c r="Q66" s="311" t="s">
        <v>15</v>
      </c>
    </row>
    <row r="67" spans="11:17" ht="15">
      <c r="K67" s="311" t="s">
        <v>83</v>
      </c>
      <c r="L67" s="311"/>
      <c r="M67" s="279"/>
      <c r="N67" s="311"/>
      <c r="O67" s="278" t="s">
        <v>104</v>
      </c>
      <c r="P67" s="278"/>
      <c r="Q67" s="311" t="s">
        <v>42</v>
      </c>
    </row>
    <row r="68" spans="11:17" ht="15">
      <c r="K68" s="311" t="s">
        <v>75</v>
      </c>
      <c r="L68" s="311"/>
      <c r="M68" s="311"/>
      <c r="N68" s="311"/>
      <c r="O68" s="311"/>
      <c r="P68" s="311"/>
      <c r="Q68" s="278" t="s">
        <v>12</v>
      </c>
    </row>
    <row r="69" spans="11:17" ht="15">
      <c r="K69" s="311"/>
      <c r="L69" s="311"/>
      <c r="M69" s="311"/>
      <c r="N69" s="311"/>
      <c r="O69" s="311" t="str">
        <f>CONCATENATE('MMR-Page1'!$P$13,'MMR-Page1'!$Q$13)</f>
        <v>05</v>
      </c>
      <c r="P69" s="312">
        <f>VALUE(O69)</f>
        <v>5</v>
      </c>
      <c r="Q69" s="278"/>
    </row>
    <row r="70" spans="11:17" ht="15">
      <c r="K70" s="311"/>
      <c r="L70" s="311"/>
      <c r="M70" s="311" t="s">
        <v>110</v>
      </c>
      <c r="N70" s="311"/>
      <c r="O70" s="311" t="str">
        <f>IF(AND(instructions!$O$71="2015",instructions!$O$69="02"),"28",IF(AND(instructions!$O$71="2016",instructions!$O$69="02"),"29",IF(AND(instructions!$O$71="2017",instructions!$O$69="02"),"28",IF(instructions!$O$69="04","30",IF(instructions!$O$69="06","30",IF(instructions!$O$69="09","30",IF(instructions!$O$69="11","30","31")))))))</f>
        <v>31</v>
      </c>
      <c r="P70" s="311"/>
      <c r="Q70" s="280" t="s">
        <v>109</v>
      </c>
    </row>
    <row r="71" spans="11:17" ht="15">
      <c r="K71" s="311"/>
      <c r="L71" s="311"/>
      <c r="M71" s="311"/>
      <c r="N71" s="311"/>
      <c r="O71" s="311" t="str">
        <f>CONCATENATE("20",'MMR-Page1'!$R$13,'MMR-Page1'!$S$13)</f>
        <v>2016</v>
      </c>
      <c r="P71" s="311"/>
      <c r="Q71" s="279"/>
    </row>
    <row r="72" spans="11:17" ht="15">
      <c r="K72" s="311"/>
      <c r="L72" s="311"/>
      <c r="M72" s="279" t="s">
        <v>71</v>
      </c>
      <c r="N72" s="311"/>
      <c r="O72" s="311"/>
      <c r="P72" s="311"/>
      <c r="Q72" s="279" t="s">
        <v>71</v>
      </c>
    </row>
    <row r="73" spans="11:17" ht="15">
      <c r="K73" s="311"/>
      <c r="L73" s="311"/>
      <c r="M73" s="311" t="s">
        <v>56</v>
      </c>
      <c r="N73" s="311"/>
      <c r="O73" s="311"/>
      <c r="P73" s="311"/>
      <c r="Q73" s="311" t="s">
        <v>66</v>
      </c>
    </row>
    <row r="74" spans="11:17" ht="15">
      <c r="K74" s="311"/>
      <c r="L74" s="311"/>
      <c r="M74" s="311"/>
      <c r="N74" s="311"/>
      <c r="O74" s="311"/>
      <c r="P74" s="311"/>
      <c r="Q74" s="311" t="s">
        <v>64</v>
      </c>
    </row>
    <row r="75" spans="11:17" ht="15">
      <c r="K75" s="310"/>
      <c r="L75" s="310"/>
      <c r="M75" s="310"/>
      <c r="N75" s="310"/>
      <c r="O75" s="310"/>
      <c r="P75" s="310"/>
      <c r="Q75" s="310"/>
    </row>
    <row r="76" spans="11:17" ht="15">
      <c r="K76" s="310"/>
      <c r="L76" s="310"/>
      <c r="M76" s="310"/>
      <c r="N76" s="310"/>
      <c r="O76" s="310"/>
      <c r="P76" s="310"/>
      <c r="Q76" s="310"/>
    </row>
  </sheetData>
  <sheetProtection selectLockedCells="1"/>
  <mergeCells count="1">
    <mergeCell ref="A1:A2"/>
  </mergeCells>
  <hyperlinks>
    <hyperlink ref="A20" r:id="rId1" display="http://in.gov/idem/cleanwater/2422.htm"/>
    <hyperlink ref="A23" r:id="rId2" display="http://in.gov/idem/cleanwater/2455.htm"/>
    <hyperlink ref="A46" r:id="rId3" display="https://netdmr.epa.gov/netdmr/public/home.htm"/>
  </hyperlinks>
  <printOptions/>
  <pageMargins left="0.7" right="0.7" top="0.75" bottom="0.75" header="0.3" footer="0.3"/>
  <pageSetup horizontalDpi="600" verticalDpi="600" orientation="portrait" scale="75" r:id="rId4"/>
  <rowBreaks count="1" manualBreakCount="1">
    <brk id="2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C76"/>
  <sheetViews>
    <sheetView zoomScale="140" zoomScaleNormal="140" zoomScalePageLayoutView="0" workbookViewId="0" topLeftCell="A1">
      <selection activeCell="D3" sqref="D3"/>
    </sheetView>
  </sheetViews>
  <sheetFormatPr defaultColWidth="9.140625" defaultRowHeight="15"/>
  <cols>
    <col min="1" max="14" width="4.7109375" style="0" customWidth="1"/>
    <col min="15" max="15" width="3.7109375" style="0" customWidth="1"/>
    <col min="16" max="16" width="4.7109375" style="0" customWidth="1"/>
    <col min="17" max="17" width="3.7109375" style="0" customWidth="1"/>
    <col min="18" max="18" width="8.00390625" style="0" customWidth="1"/>
    <col min="19" max="19" width="4.7109375" style="0" customWidth="1"/>
    <col min="20" max="20" width="8.421875" style="0" customWidth="1"/>
    <col min="21" max="21" width="4.7109375" style="0" customWidth="1"/>
    <col min="22" max="22" width="6.28125" style="0" customWidth="1"/>
    <col min="27" max="27" width="9.28125" style="36" customWidth="1"/>
  </cols>
  <sheetData>
    <row r="1" spans="1:22" ht="15">
      <c r="A1" s="1"/>
      <c r="B1" s="2"/>
      <c r="C1" s="2"/>
      <c r="E1" s="2"/>
      <c r="F1" s="2"/>
      <c r="G1" s="2"/>
      <c r="H1" s="2"/>
      <c r="I1" s="2"/>
      <c r="J1" s="2"/>
      <c r="K1" s="2"/>
      <c r="L1" s="2"/>
      <c r="M1" s="2"/>
      <c r="N1" s="2"/>
      <c r="O1" s="2"/>
      <c r="P1" s="2"/>
      <c r="Q1" s="2"/>
      <c r="R1" s="2"/>
      <c r="S1" s="2"/>
      <c r="T1" s="2"/>
      <c r="U1" s="2"/>
      <c r="V1" s="2"/>
    </row>
    <row r="2" spans="1:22" ht="15">
      <c r="A2" s="1"/>
      <c r="B2" s="3"/>
      <c r="C2" s="3"/>
      <c r="D2" s="31" t="s">
        <v>41</v>
      </c>
      <c r="E2" s="3"/>
      <c r="F2" s="3"/>
      <c r="G2" s="3"/>
      <c r="H2" s="3"/>
      <c r="I2" s="3"/>
      <c r="J2" s="3"/>
      <c r="K2" s="3"/>
      <c r="L2" s="3"/>
      <c r="M2" s="3"/>
      <c r="N2" s="3"/>
      <c r="O2" s="3"/>
      <c r="P2" s="3"/>
      <c r="Q2" s="3"/>
      <c r="R2" s="3"/>
      <c r="S2" s="3"/>
      <c r="T2" s="3"/>
      <c r="U2" s="3"/>
      <c r="V2" s="3"/>
    </row>
    <row r="3" spans="1:22" ht="15">
      <c r="A3" s="1"/>
      <c r="B3" s="4"/>
      <c r="C3" s="4"/>
      <c r="D3" s="32" t="s">
        <v>176</v>
      </c>
      <c r="E3" s="4"/>
      <c r="F3" s="4"/>
      <c r="G3" s="4"/>
      <c r="H3" s="4"/>
      <c r="I3" s="4"/>
      <c r="J3" s="4"/>
      <c r="K3" s="4"/>
      <c r="L3" s="4"/>
      <c r="M3" s="4"/>
      <c r="N3" s="4"/>
      <c r="O3" s="4"/>
      <c r="P3" s="4"/>
      <c r="Q3" s="4"/>
      <c r="R3" s="4"/>
      <c r="S3" s="4"/>
      <c r="T3" s="4"/>
      <c r="U3" s="4"/>
      <c r="V3" s="4"/>
    </row>
    <row r="4" spans="1:24" ht="10.5" customHeight="1">
      <c r="A4" s="5" t="s">
        <v>0</v>
      </c>
      <c r="B4" s="5"/>
      <c r="C4" s="5"/>
      <c r="D4" s="6" t="s">
        <v>1</v>
      </c>
      <c r="E4" s="7"/>
      <c r="F4" s="7"/>
      <c r="G4" s="7"/>
      <c r="H4" s="7"/>
      <c r="I4" s="7"/>
      <c r="J4" s="7"/>
      <c r="K4" s="7"/>
      <c r="L4" s="8"/>
      <c r="M4" s="5"/>
      <c r="N4" s="265" t="s">
        <v>166</v>
      </c>
      <c r="O4" s="264"/>
      <c r="P4" s="264"/>
      <c r="Q4" s="264"/>
      <c r="R4" s="264"/>
      <c r="S4" s="264"/>
      <c r="T4" s="264"/>
      <c r="U4" s="264"/>
      <c r="V4" s="5"/>
      <c r="X4" s="263"/>
    </row>
    <row r="5" spans="1:24" ht="10.5" customHeight="1">
      <c r="A5" s="5"/>
      <c r="B5" s="9"/>
      <c r="C5" s="9"/>
      <c r="D5" s="332"/>
      <c r="E5" s="333"/>
      <c r="F5" s="333"/>
      <c r="G5" s="333"/>
      <c r="H5" s="333"/>
      <c r="I5" s="333"/>
      <c r="J5" s="333"/>
      <c r="K5" s="333"/>
      <c r="L5" s="334"/>
      <c r="M5" s="5"/>
      <c r="N5" s="265" t="s">
        <v>168</v>
      </c>
      <c r="O5" s="264"/>
      <c r="P5" s="264"/>
      <c r="Q5" s="264"/>
      <c r="R5" s="264"/>
      <c r="S5" s="264"/>
      <c r="T5" s="264"/>
      <c r="U5" s="264"/>
      <c r="V5" s="5"/>
      <c r="X5" s="263"/>
    </row>
    <row r="6" spans="1:24" ht="10.5" customHeight="1">
      <c r="A6" s="5"/>
      <c r="B6" s="9"/>
      <c r="C6" s="9"/>
      <c r="D6" s="332"/>
      <c r="E6" s="333"/>
      <c r="F6" s="333"/>
      <c r="G6" s="333"/>
      <c r="H6" s="333"/>
      <c r="I6" s="333"/>
      <c r="J6" s="333"/>
      <c r="K6" s="333"/>
      <c r="L6" s="334"/>
      <c r="M6" s="5"/>
      <c r="N6" s="265" t="s">
        <v>169</v>
      </c>
      <c r="O6" s="264"/>
      <c r="P6" s="264"/>
      <c r="Q6" s="264"/>
      <c r="R6" s="264"/>
      <c r="S6" s="264"/>
      <c r="T6" s="264"/>
      <c r="U6" s="264"/>
      <c r="V6" s="5"/>
      <c r="X6" s="263"/>
    </row>
    <row r="7" spans="1:24" ht="10.5" customHeight="1">
      <c r="A7" s="5"/>
      <c r="B7" s="9"/>
      <c r="C7" s="9"/>
      <c r="D7" s="332"/>
      <c r="E7" s="333"/>
      <c r="F7" s="333"/>
      <c r="G7" s="333"/>
      <c r="H7" s="333"/>
      <c r="I7" s="333"/>
      <c r="J7" s="333"/>
      <c r="K7" s="333"/>
      <c r="L7" s="334"/>
      <c r="M7" s="5"/>
      <c r="N7" s="265" t="s">
        <v>170</v>
      </c>
      <c r="O7" s="264"/>
      <c r="P7" s="264"/>
      <c r="Q7" s="264"/>
      <c r="R7" s="264"/>
      <c r="S7" s="264"/>
      <c r="T7" s="264"/>
      <c r="U7" s="264"/>
      <c r="V7" s="5"/>
      <c r="X7" s="263"/>
    </row>
    <row r="8" spans="1:24" ht="10.5" customHeight="1">
      <c r="A8" s="5"/>
      <c r="B8" s="9"/>
      <c r="C8" s="9"/>
      <c r="D8" s="332"/>
      <c r="E8" s="333"/>
      <c r="F8" s="333"/>
      <c r="G8" s="333"/>
      <c r="H8" s="333"/>
      <c r="I8" s="333"/>
      <c r="J8" s="333"/>
      <c r="K8" s="333"/>
      <c r="L8" s="334"/>
      <c r="M8" s="5"/>
      <c r="N8" s="265" t="s">
        <v>167</v>
      </c>
      <c r="O8" s="264"/>
      <c r="P8" s="264"/>
      <c r="Q8" s="264"/>
      <c r="R8" s="264"/>
      <c r="S8" s="264"/>
      <c r="T8" s="264"/>
      <c r="U8" s="264"/>
      <c r="V8" s="5"/>
      <c r="X8" s="263"/>
    </row>
    <row r="9" spans="1:22" ht="10.5" customHeight="1">
      <c r="A9" s="5"/>
      <c r="B9" s="9"/>
      <c r="C9" s="9"/>
      <c r="D9" s="332"/>
      <c r="E9" s="333"/>
      <c r="F9" s="333"/>
      <c r="G9" s="333"/>
      <c r="H9" s="333"/>
      <c r="I9" s="333"/>
      <c r="J9" s="333"/>
      <c r="K9" s="333"/>
      <c r="L9" s="334"/>
      <c r="M9" s="5"/>
      <c r="N9" s="265" t="s">
        <v>172</v>
      </c>
      <c r="O9" s="264"/>
      <c r="P9" s="264"/>
      <c r="Q9" s="264"/>
      <c r="R9" s="264"/>
      <c r="S9" s="264"/>
      <c r="T9" s="264"/>
      <c r="U9" s="264"/>
      <c r="V9" s="5"/>
    </row>
    <row r="10" spans="1:22" ht="10.5" customHeight="1">
      <c r="A10" s="5"/>
      <c r="B10" s="9"/>
      <c r="C10" s="9"/>
      <c r="D10" s="332"/>
      <c r="E10" s="333"/>
      <c r="F10" s="333"/>
      <c r="G10" s="333"/>
      <c r="H10" s="333"/>
      <c r="I10" s="333"/>
      <c r="J10" s="333"/>
      <c r="K10" s="333"/>
      <c r="L10" s="334"/>
      <c r="M10" s="5"/>
      <c r="N10" s="5"/>
      <c r="O10" s="5"/>
      <c r="P10" s="10"/>
      <c r="Q10" s="5"/>
      <c r="R10" s="5"/>
      <c r="S10" s="5"/>
      <c r="T10" s="5"/>
      <c r="U10" s="5"/>
      <c r="V10" s="5"/>
    </row>
    <row r="11" spans="1:22" ht="10.5" customHeight="1">
      <c r="A11" s="5"/>
      <c r="B11" s="9"/>
      <c r="C11" s="9"/>
      <c r="D11" s="335"/>
      <c r="E11" s="336"/>
      <c r="F11" s="336"/>
      <c r="G11" s="336"/>
      <c r="H11" s="336"/>
      <c r="I11" s="336"/>
      <c r="J11" s="336"/>
      <c r="K11" s="336"/>
      <c r="L11" s="337"/>
      <c r="M11" s="5"/>
      <c r="N11" s="340" t="s">
        <v>2</v>
      </c>
      <c r="O11" s="341"/>
      <c r="P11" s="341"/>
      <c r="Q11" s="342"/>
      <c r="R11" s="343"/>
      <c r="S11" s="343"/>
      <c r="T11" s="343"/>
      <c r="U11" s="343"/>
      <c r="V11" s="344"/>
    </row>
    <row r="12" spans="1:27" ht="10.5" customHeight="1">
      <c r="A12" s="5"/>
      <c r="B12" s="5"/>
      <c r="C12" s="5"/>
      <c r="D12" s="5"/>
      <c r="E12" s="5"/>
      <c r="F12" s="5"/>
      <c r="G12" s="5"/>
      <c r="H12" s="5"/>
      <c r="I12" s="5"/>
      <c r="J12" s="5"/>
      <c r="K12" s="5"/>
      <c r="L12" s="5"/>
      <c r="M12" s="5"/>
      <c r="N12" s="11"/>
      <c r="O12" s="11"/>
      <c r="P12" s="11"/>
      <c r="Q12" s="12"/>
      <c r="R12" s="12"/>
      <c r="S12" s="12"/>
      <c r="T12" s="12"/>
      <c r="U12" s="12"/>
      <c r="V12" s="12"/>
      <c r="AA12" s="253">
        <f>P13+Q13</f>
        <v>5</v>
      </c>
    </row>
    <row r="13" spans="1:27" s="33" customFormat="1" ht="10.5" customHeight="1">
      <c r="A13" s="124" t="s">
        <v>3</v>
      </c>
      <c r="B13" s="124" t="s">
        <v>4</v>
      </c>
      <c r="C13" s="125"/>
      <c r="D13" s="125"/>
      <c r="E13" s="125" t="s">
        <v>165</v>
      </c>
      <c r="F13" s="125"/>
      <c r="G13" s="125"/>
      <c r="H13" s="125"/>
      <c r="I13" s="125"/>
      <c r="J13" s="13"/>
      <c r="K13" s="14"/>
      <c r="L13" s="14"/>
      <c r="M13" s="14"/>
      <c r="N13" s="198" t="s">
        <v>74</v>
      </c>
      <c r="O13" s="13"/>
      <c r="P13" s="160">
        <v>0</v>
      </c>
      <c r="Q13" s="160">
        <v>5</v>
      </c>
      <c r="R13" s="160">
        <v>1</v>
      </c>
      <c r="S13" s="160">
        <v>6</v>
      </c>
      <c r="T13" s="5"/>
      <c r="U13" s="5"/>
      <c r="V13" s="5"/>
      <c r="AA13" s="143"/>
    </row>
    <row r="14" spans="1:27" ht="10.5" customHeight="1">
      <c r="A14" s="345" t="s">
        <v>5</v>
      </c>
      <c r="B14" s="346"/>
      <c r="C14" s="346"/>
      <c r="D14" s="346"/>
      <c r="E14" s="346"/>
      <c r="F14" s="346"/>
      <c r="G14" s="346"/>
      <c r="H14" s="346"/>
      <c r="I14" s="347"/>
      <c r="J14" s="15"/>
      <c r="K14" s="345" t="s">
        <v>160</v>
      </c>
      <c r="L14" s="346"/>
      <c r="M14" s="346"/>
      <c r="N14" s="347"/>
      <c r="O14" s="15"/>
      <c r="P14" s="345" t="s">
        <v>161</v>
      </c>
      <c r="Q14" s="347"/>
      <c r="R14" s="345" t="s">
        <v>162</v>
      </c>
      <c r="S14" s="347"/>
      <c r="T14" s="15"/>
      <c r="U14" s="15"/>
      <c r="V14" s="15"/>
      <c r="AA14" s="144"/>
    </row>
    <row r="15" spans="1:29" s="33" customFormat="1" ht="12.75" customHeight="1">
      <c r="A15" s="5"/>
      <c r="B15" s="5"/>
      <c r="C15" s="5"/>
      <c r="D15" s="5"/>
      <c r="E15" s="5"/>
      <c r="F15" s="5"/>
      <c r="G15" s="5"/>
      <c r="H15" s="5"/>
      <c r="I15" s="5"/>
      <c r="J15" s="5"/>
      <c r="K15" s="164"/>
      <c r="L15" s="5"/>
      <c r="M15" s="5"/>
      <c r="N15" s="5"/>
      <c r="O15" s="5"/>
      <c r="P15" s="163"/>
      <c r="Q15" s="170" t="s">
        <v>115</v>
      </c>
      <c r="R15" s="175" t="b">
        <v>0</v>
      </c>
      <c r="S15" s="161"/>
      <c r="T15" s="162"/>
      <c r="U15" s="153" t="s">
        <v>6</v>
      </c>
      <c r="V15" s="155" t="b">
        <v>0</v>
      </c>
      <c r="AA15" s="254"/>
      <c r="AC15" s="255" t="str">
        <f>CONCATENATE("IN",$C$13,$D$13,$E$13,$F$13,$G$13,$H$13,$I$13)</f>
        <v>IN   </v>
      </c>
    </row>
    <row r="16" spans="1:27" s="33" customFormat="1" ht="10.5" customHeight="1">
      <c r="A16" s="5"/>
      <c r="B16" s="5"/>
      <c r="C16" s="5"/>
      <c r="D16" s="5"/>
      <c r="E16" s="5"/>
      <c r="F16" s="5"/>
      <c r="G16" s="141"/>
      <c r="H16" s="142"/>
      <c r="I16" s="141"/>
      <c r="J16" s="172" t="s">
        <v>117</v>
      </c>
      <c r="K16" s="177" t="b">
        <v>0</v>
      </c>
      <c r="L16" s="168"/>
      <c r="M16" s="168"/>
      <c r="N16" s="142"/>
      <c r="O16" s="141"/>
      <c r="P16" s="142"/>
      <c r="Q16" s="169" t="s">
        <v>116</v>
      </c>
      <c r="R16" s="176" t="b">
        <v>0</v>
      </c>
      <c r="S16" s="141"/>
      <c r="T16" s="142"/>
      <c r="U16" s="153" t="s">
        <v>7</v>
      </c>
      <c r="V16" s="155" t="b">
        <v>0</v>
      </c>
      <c r="AA16" s="152"/>
    </row>
    <row r="17" spans="1:27" s="33" customFormat="1" ht="10.5" customHeight="1">
      <c r="A17" s="178" t="s">
        <v>84</v>
      </c>
      <c r="B17" s="179"/>
      <c r="C17" s="179"/>
      <c r="D17" s="179"/>
      <c r="E17" s="179"/>
      <c r="F17" s="180" t="s">
        <v>0</v>
      </c>
      <c r="G17" s="320" t="s">
        <v>8</v>
      </c>
      <c r="H17" s="321"/>
      <c r="I17" s="348" t="s">
        <v>39</v>
      </c>
      <c r="J17" s="331"/>
      <c r="K17" s="348" t="s">
        <v>40</v>
      </c>
      <c r="L17" s="350"/>
      <c r="M17" s="320" t="s">
        <v>9</v>
      </c>
      <c r="N17" s="321"/>
      <c r="O17" s="348" t="str">
        <f>IF($K$16=TRUE,"",IF($R$15=TRUE,"TRC",IF(instructions!$P$69&lt;4,"",IF(instructions!$P$69&gt;10,"","TRC"))))</f>
        <v>TRC</v>
      </c>
      <c r="P17" s="349"/>
      <c r="Q17" s="348" t="str">
        <f>IF($R$16=TRUE,"E. coli",IF(instructions!$P$69&lt;4,"",IF(instructions!$P$69&gt;10,"","E. coli")))</f>
        <v>E. coli</v>
      </c>
      <c r="R17" s="349"/>
      <c r="S17" s="351">
        <f>IF($AC$15="IN0025666","Fecal Coliform",IF($AC$15="IN0033073","Fecal Coliform",IF($AC$15="IN0032956","Fecal Coliform",IF($AC$15="IN0035696","Fecal Coliform",""))))</f>
      </c>
      <c r="T17" s="352"/>
      <c r="U17" s="320"/>
      <c r="V17" s="321"/>
      <c r="AA17" s="128"/>
    </row>
    <row r="18" spans="1:24" ht="10.5" customHeight="1">
      <c r="A18" s="178" t="s">
        <v>82</v>
      </c>
      <c r="B18" s="179"/>
      <c r="C18" s="179"/>
      <c r="D18" s="179"/>
      <c r="E18" s="179"/>
      <c r="F18" s="180"/>
      <c r="G18" s="338" t="s">
        <v>83</v>
      </c>
      <c r="H18" s="339"/>
      <c r="I18" s="320" t="s">
        <v>75</v>
      </c>
      <c r="J18" s="331"/>
      <c r="K18" s="338" t="s">
        <v>75</v>
      </c>
      <c r="L18" s="339"/>
      <c r="M18" s="338" t="s">
        <v>75</v>
      </c>
      <c r="N18" s="339"/>
      <c r="O18" s="353" t="str">
        <f>IF($O$17="TRC","Conc","")</f>
        <v>Conc</v>
      </c>
      <c r="P18" s="354"/>
      <c r="Q18" s="326" t="str">
        <f>IF($Q$17="E. coli","Conc","")</f>
        <v>Conc</v>
      </c>
      <c r="R18" s="327"/>
      <c r="S18" s="326">
        <f>IF($S$17="Fecal Coliform","Conc","")</f>
      </c>
      <c r="T18" s="327"/>
      <c r="U18" s="338"/>
      <c r="V18" s="339"/>
      <c r="X18" s="25"/>
    </row>
    <row r="19" spans="1:24" ht="10.5" customHeight="1">
      <c r="A19" s="317" t="s">
        <v>85</v>
      </c>
      <c r="B19" s="318"/>
      <c r="C19" s="318"/>
      <c r="D19" s="318"/>
      <c r="E19" s="318"/>
      <c r="F19" s="319"/>
      <c r="G19" s="320" t="s">
        <v>81</v>
      </c>
      <c r="H19" s="321"/>
      <c r="I19" s="320" t="s">
        <v>66</v>
      </c>
      <c r="J19" s="331"/>
      <c r="K19" s="320" t="s">
        <v>66</v>
      </c>
      <c r="L19" s="321"/>
      <c r="M19" s="320" t="s">
        <v>64</v>
      </c>
      <c r="N19" s="321"/>
      <c r="O19" s="326" t="str">
        <f>IF($O$17="TRC","Grab","")</f>
        <v>Grab</v>
      </c>
      <c r="P19" s="327"/>
      <c r="Q19" s="326" t="str">
        <f>IF($Q$17="E. coli","Grab","")</f>
        <v>Grab</v>
      </c>
      <c r="R19" s="327"/>
      <c r="S19" s="326">
        <f>IF($S$17="Fecal Coliform","Grab","")</f>
      </c>
      <c r="T19" s="327"/>
      <c r="U19" s="320"/>
      <c r="V19" s="321"/>
      <c r="X19" s="35"/>
    </row>
    <row r="20" spans="1:27" s="33" customFormat="1" ht="10.5" customHeight="1">
      <c r="A20" s="181"/>
      <c r="B20" s="182"/>
      <c r="C20" s="182"/>
      <c r="D20" s="178" t="s">
        <v>92</v>
      </c>
      <c r="E20" s="179"/>
      <c r="F20" s="180"/>
      <c r="G20" s="326" t="s">
        <v>98</v>
      </c>
      <c r="H20" s="327"/>
      <c r="I20" s="326" t="s">
        <v>99</v>
      </c>
      <c r="J20" s="327"/>
      <c r="K20" s="355" t="s">
        <v>97</v>
      </c>
      <c r="L20" s="327"/>
      <c r="M20" s="355" t="s">
        <v>96</v>
      </c>
      <c r="N20" s="327"/>
      <c r="O20" s="355" t="str">
        <f>IF($O$17="TRC","50060","")</f>
        <v>50060</v>
      </c>
      <c r="P20" s="327"/>
      <c r="Q20" s="355" t="str">
        <f>IF($Q$17="E. coli","51041","")</f>
        <v>51041</v>
      </c>
      <c r="R20" s="327"/>
      <c r="S20" s="355">
        <f>IF($S$17="Fecal Coliform","74055","")</f>
      </c>
      <c r="T20" s="327"/>
      <c r="U20" s="326"/>
      <c r="V20" s="327"/>
      <c r="AA20" s="128"/>
    </row>
    <row r="21" spans="1:22" ht="10.5" customHeight="1">
      <c r="A21" s="317" t="s">
        <v>86</v>
      </c>
      <c r="B21" s="318"/>
      <c r="C21" s="318"/>
      <c r="D21" s="318"/>
      <c r="E21" s="318"/>
      <c r="F21" s="319"/>
      <c r="G21" s="320" t="s">
        <v>56</v>
      </c>
      <c r="H21" s="321"/>
      <c r="I21" s="320" t="s">
        <v>56</v>
      </c>
      <c r="J21" s="331"/>
      <c r="K21" s="320" t="s">
        <v>56</v>
      </c>
      <c r="L21" s="321"/>
      <c r="M21" s="320" t="s">
        <v>56</v>
      </c>
      <c r="N21" s="321"/>
      <c r="O21" s="326" t="str">
        <f>IF($O$17="TRC","Daily","")</f>
        <v>Daily</v>
      </c>
      <c r="P21" s="327"/>
      <c r="Q21" s="326" t="str">
        <f>IF($Q$17="E. coli","Daily","")</f>
        <v>Daily</v>
      </c>
      <c r="R21" s="327"/>
      <c r="S21" s="326">
        <f>IF($S$17="Fecal Coliform","Daily","")</f>
      </c>
      <c r="T21" s="327"/>
      <c r="U21" s="320"/>
      <c r="V21" s="321"/>
    </row>
    <row r="22" spans="1:22" ht="10.5" customHeight="1" hidden="1">
      <c r="A22" s="181"/>
      <c r="B22" s="182"/>
      <c r="C22" s="182"/>
      <c r="D22" s="178"/>
      <c r="E22" s="179"/>
      <c r="F22" s="180"/>
      <c r="G22" s="356"/>
      <c r="H22" s="357"/>
      <c r="I22" s="183"/>
      <c r="J22" s="184"/>
      <c r="K22" s="356"/>
      <c r="L22" s="357"/>
      <c r="M22" s="356"/>
      <c r="N22" s="357"/>
      <c r="O22" s="358"/>
      <c r="P22" s="359"/>
      <c r="Q22" s="326"/>
      <c r="R22" s="327"/>
      <c r="S22" s="358"/>
      <c r="T22" s="359"/>
      <c r="U22" s="356"/>
      <c r="V22" s="357"/>
    </row>
    <row r="23" spans="1:22" ht="10.5" customHeight="1">
      <c r="A23" s="185" t="s">
        <v>10</v>
      </c>
      <c r="B23" s="186"/>
      <c r="C23" s="186"/>
      <c r="D23" s="178" t="s">
        <v>68</v>
      </c>
      <c r="E23" s="179"/>
      <c r="F23" s="180"/>
      <c r="G23" s="324" t="s">
        <v>71</v>
      </c>
      <c r="H23" s="325"/>
      <c r="I23" s="324" t="s">
        <v>71</v>
      </c>
      <c r="J23" s="331"/>
      <c r="K23" s="324" t="s">
        <v>71</v>
      </c>
      <c r="L23" s="325"/>
      <c r="M23" s="330" t="s">
        <v>65</v>
      </c>
      <c r="N23" s="325"/>
      <c r="O23" s="355" t="str">
        <f>IF($O$17="TRC","-----","")</f>
        <v>-----</v>
      </c>
      <c r="P23" s="327"/>
      <c r="Q23" s="355" t="str">
        <f>IF($Q$17="E. coli","-----","")</f>
        <v>-----</v>
      </c>
      <c r="R23" s="327"/>
      <c r="S23" s="355">
        <f>IF($S$17="Fecal Coliform","-----","")</f>
      </c>
      <c r="T23" s="327"/>
      <c r="U23" s="330"/>
      <c r="V23" s="325"/>
    </row>
    <row r="24" spans="1:22" ht="10.5" customHeight="1">
      <c r="A24" s="187" t="s">
        <v>11</v>
      </c>
      <c r="B24" s="188"/>
      <c r="C24" s="188"/>
      <c r="D24" s="178" t="s">
        <v>69</v>
      </c>
      <c r="E24" s="179"/>
      <c r="F24" s="180"/>
      <c r="G24" s="330" t="s">
        <v>65</v>
      </c>
      <c r="H24" s="325"/>
      <c r="I24" s="330" t="s">
        <v>65</v>
      </c>
      <c r="J24" s="331"/>
      <c r="K24" s="330" t="s">
        <v>65</v>
      </c>
      <c r="L24" s="325"/>
      <c r="M24" s="324" t="s">
        <v>71</v>
      </c>
      <c r="N24" s="325"/>
      <c r="O24" s="326" t="str">
        <f>IF($O$17="TRC","Report","")</f>
        <v>Report</v>
      </c>
      <c r="P24" s="327"/>
      <c r="Q24" s="326" t="str">
        <f>IF($Q$17="E. coli","125","")</f>
        <v>125</v>
      </c>
      <c r="R24" s="327"/>
      <c r="S24" s="326">
        <f>IF($S$17="Fecal Coliform","2000","")</f>
      </c>
      <c r="T24" s="327"/>
      <c r="U24" s="324"/>
      <c r="V24" s="325"/>
    </row>
    <row r="25" spans="1:22" ht="10.5" customHeight="1">
      <c r="A25" s="187"/>
      <c r="B25" s="188"/>
      <c r="C25" s="189"/>
      <c r="D25" s="182" t="s">
        <v>70</v>
      </c>
      <c r="E25" s="182"/>
      <c r="F25" s="190"/>
      <c r="G25" s="330" t="s">
        <v>65</v>
      </c>
      <c r="H25" s="325"/>
      <c r="I25" s="330" t="s">
        <v>65</v>
      </c>
      <c r="J25" s="331"/>
      <c r="K25" s="330" t="s">
        <v>65</v>
      </c>
      <c r="L25" s="325"/>
      <c r="M25" s="330" t="s">
        <v>65</v>
      </c>
      <c r="N25" s="325"/>
      <c r="O25" s="326" t="str">
        <f>IF($O$17="TRC","Report","")</f>
        <v>Report</v>
      </c>
      <c r="P25" s="327"/>
      <c r="Q25" s="326" t="str">
        <f>IF($Q$17="E. coli","235","")</f>
        <v>235</v>
      </c>
      <c r="R25" s="327"/>
      <c r="S25" s="355">
        <f>IF($S$17="Fecal Coliform","-----","")</f>
      </c>
      <c r="T25" s="327"/>
      <c r="U25" s="330"/>
      <c r="V25" s="325"/>
    </row>
    <row r="26" spans="1:27" s="123" customFormat="1" ht="10.5" customHeight="1">
      <c r="A26" s="187"/>
      <c r="B26" s="188"/>
      <c r="C26" s="188"/>
      <c r="D26" s="178" t="s">
        <v>113</v>
      </c>
      <c r="E26" s="182"/>
      <c r="F26" s="190"/>
      <c r="G26" s="324" t="s">
        <v>43</v>
      </c>
      <c r="H26" s="325"/>
      <c r="I26" s="324" t="s">
        <v>43</v>
      </c>
      <c r="J26" s="325"/>
      <c r="K26" s="324" t="s">
        <v>43</v>
      </c>
      <c r="L26" s="325"/>
      <c r="M26" s="324" t="s">
        <v>43</v>
      </c>
      <c r="N26" s="325"/>
      <c r="O26" s="355" t="str">
        <f>IF($O$17="TRC","1","")</f>
        <v>1</v>
      </c>
      <c r="P26" s="327"/>
      <c r="Q26" s="355" t="str">
        <f>IF($Q$17="E. coli","1","")</f>
        <v>1</v>
      </c>
      <c r="R26" s="327"/>
      <c r="S26" s="355">
        <f>IF($S$17="Fecal Coliform","1","")</f>
      </c>
      <c r="T26" s="327"/>
      <c r="U26" s="173"/>
      <c r="V26" s="174"/>
      <c r="AA26" s="36"/>
    </row>
    <row r="27" spans="1:27" s="123" customFormat="1" ht="10.5" customHeight="1">
      <c r="A27" s="181"/>
      <c r="B27" s="182"/>
      <c r="C27" s="182"/>
      <c r="D27" s="178" t="s">
        <v>111</v>
      </c>
      <c r="E27" s="182"/>
      <c r="F27" s="190"/>
      <c r="G27" s="326">
        <v>0</v>
      </c>
      <c r="H27" s="327"/>
      <c r="I27" s="326">
        <v>0</v>
      </c>
      <c r="J27" s="327"/>
      <c r="K27" s="326">
        <v>0</v>
      </c>
      <c r="L27" s="327"/>
      <c r="M27" s="326">
        <v>0</v>
      </c>
      <c r="N27" s="327"/>
      <c r="O27" s="326" t="str">
        <f>IF($O$17="TRC","0","")</f>
        <v>0</v>
      </c>
      <c r="P27" s="327"/>
      <c r="Q27" s="326" t="str">
        <f>IF($Q$17="E. coli","0","")</f>
        <v>0</v>
      </c>
      <c r="R27" s="327"/>
      <c r="S27" s="355">
        <f>IF($S$17="Fecal Coliform","0","")</f>
      </c>
      <c r="T27" s="411"/>
      <c r="U27" s="326"/>
      <c r="V27" s="327"/>
      <c r="AA27" s="36"/>
    </row>
    <row r="28" spans="1:22" ht="10.5" customHeight="1">
      <c r="A28" s="191" t="str">
        <f>CONCATENATE($P$13,$Q$13,"/",1,"/",$R$13,$S$13)</f>
        <v>05/1/16</v>
      </c>
      <c r="B28" s="192">
        <f>(+P13+Q13)*(R13+S13)</f>
        <v>35</v>
      </c>
      <c r="C28" s="193"/>
      <c r="D28" s="193"/>
      <c r="E28" s="328" t="s">
        <v>89</v>
      </c>
      <c r="F28" s="329"/>
      <c r="G28" s="348" t="s">
        <v>12</v>
      </c>
      <c r="H28" s="362"/>
      <c r="I28" s="348" t="s">
        <v>15</v>
      </c>
      <c r="J28" s="331"/>
      <c r="K28" s="348" t="s">
        <v>15</v>
      </c>
      <c r="L28" s="362"/>
      <c r="M28" s="194" t="s">
        <v>13</v>
      </c>
      <c r="N28" s="194" t="s">
        <v>14</v>
      </c>
      <c r="O28" s="195" t="s">
        <v>91</v>
      </c>
      <c r="P28" s="195" t="str">
        <f>IF($O$17="TRC","MG/L","")</f>
        <v>MG/L</v>
      </c>
      <c r="Q28" s="196" t="s">
        <v>91</v>
      </c>
      <c r="R28" s="259" t="str">
        <f>IF($Q$17="E. coli","C / 100 ML","")</f>
        <v>C / 100 ML</v>
      </c>
      <c r="S28" s="196">
        <f>IF($S$17="Fecal Coliform","&lt;","")</f>
      </c>
      <c r="T28" s="197">
        <f>IF($S$17="Fecal Coliform","C / 100 ML","")</f>
      </c>
      <c r="U28" s="348"/>
      <c r="V28" s="331"/>
    </row>
    <row r="29" spans="1:29" ht="10.5" customHeight="1">
      <c r="A29" s="118"/>
      <c r="B29" s="119"/>
      <c r="C29" s="119"/>
      <c r="D29" s="119"/>
      <c r="E29" s="60" t="str">
        <f aca="true" t="shared" si="0" ref="E29:E59">IF(+B$28&gt;0,TEXT(A$28+F29-1,"DDD"),"")</f>
        <v>Sun</v>
      </c>
      <c r="F29" s="154">
        <v>1</v>
      </c>
      <c r="G29" s="322"/>
      <c r="H29" s="323"/>
      <c r="I29" s="315"/>
      <c r="J29" s="316"/>
      <c r="K29" s="315"/>
      <c r="L29" s="363"/>
      <c r="M29" s="133"/>
      <c r="N29" s="133"/>
      <c r="O29" s="131"/>
      <c r="P29" s="132"/>
      <c r="Q29" s="135"/>
      <c r="R29" s="136"/>
      <c r="S29" s="146"/>
      <c r="T29" s="147"/>
      <c r="U29" s="360"/>
      <c r="V29" s="361"/>
      <c r="AA29" s="129" t="str">
        <f>IF(ISNUMBER(R29),IF(R29&gt;0,R29,1)," ")</f>
        <v> </v>
      </c>
      <c r="AC29" s="255">
        <f aca="true" t="shared" si="1" ref="AC29:AC45">IF($R29&gt;235,1,"")</f>
      </c>
    </row>
    <row r="30" spans="1:29" ht="10.5" customHeight="1">
      <c r="A30" s="67"/>
      <c r="B30" s="68"/>
      <c r="C30" s="68"/>
      <c r="D30" s="68" t="s">
        <v>0</v>
      </c>
      <c r="E30" s="60" t="str">
        <f t="shared" si="0"/>
        <v>Mon</v>
      </c>
      <c r="F30" s="154">
        <v>2</v>
      </c>
      <c r="G30" s="322"/>
      <c r="H30" s="323"/>
      <c r="I30" s="315"/>
      <c r="J30" s="316"/>
      <c r="K30" s="315"/>
      <c r="L30" s="363"/>
      <c r="M30" s="133"/>
      <c r="N30" s="133"/>
      <c r="O30" s="131"/>
      <c r="P30" s="132"/>
      <c r="Q30" s="135"/>
      <c r="R30" s="136"/>
      <c r="S30" s="146"/>
      <c r="T30" s="147"/>
      <c r="U30" s="360"/>
      <c r="V30" s="361"/>
      <c r="AA30" s="129" t="str">
        <f aca="true" t="shared" si="2" ref="AA30:AA59">IF(ISNUMBER(R30),IF(R30&gt;0,R30,1)," ")</f>
        <v> </v>
      </c>
      <c r="AC30" s="255">
        <f t="shared" si="1"/>
      </c>
    </row>
    <row r="31" spans="1:29" ht="10.5" customHeight="1">
      <c r="A31" s="67"/>
      <c r="B31" s="68"/>
      <c r="C31" s="68"/>
      <c r="D31" s="68" t="s">
        <v>0</v>
      </c>
      <c r="E31" s="60" t="str">
        <f t="shared" si="0"/>
        <v>Tue</v>
      </c>
      <c r="F31" s="154">
        <v>3</v>
      </c>
      <c r="G31" s="322"/>
      <c r="H31" s="323"/>
      <c r="I31" s="315"/>
      <c r="J31" s="316"/>
      <c r="K31" s="315"/>
      <c r="L31" s="363"/>
      <c r="M31" s="133"/>
      <c r="N31" s="133"/>
      <c r="O31" s="131"/>
      <c r="P31" s="132"/>
      <c r="Q31" s="135"/>
      <c r="R31" s="136"/>
      <c r="S31" s="146"/>
      <c r="T31" s="147"/>
      <c r="U31" s="360"/>
      <c r="V31" s="361"/>
      <c r="AA31" s="129" t="str">
        <f t="shared" si="2"/>
        <v> </v>
      </c>
      <c r="AC31" s="255">
        <f t="shared" si="1"/>
      </c>
    </row>
    <row r="32" spans="1:29" ht="10.5" customHeight="1">
      <c r="A32" s="67"/>
      <c r="B32" s="68"/>
      <c r="C32" s="68"/>
      <c r="D32" s="68" t="s">
        <v>0</v>
      </c>
      <c r="E32" s="60" t="str">
        <f t="shared" si="0"/>
        <v>Wed</v>
      </c>
      <c r="F32" s="154">
        <v>4</v>
      </c>
      <c r="G32" s="322"/>
      <c r="H32" s="323"/>
      <c r="I32" s="315"/>
      <c r="J32" s="316"/>
      <c r="K32" s="315"/>
      <c r="L32" s="363"/>
      <c r="M32" s="133"/>
      <c r="N32" s="133"/>
      <c r="O32" s="131"/>
      <c r="P32" s="132"/>
      <c r="Q32" s="135"/>
      <c r="R32" s="136"/>
      <c r="S32" s="146"/>
      <c r="T32" s="147"/>
      <c r="U32" s="360"/>
      <c r="V32" s="361"/>
      <c r="AA32" s="129" t="str">
        <f t="shared" si="2"/>
        <v> </v>
      </c>
      <c r="AC32" s="255">
        <f t="shared" si="1"/>
      </c>
    </row>
    <row r="33" spans="1:29" ht="10.5" customHeight="1">
      <c r="A33" s="67"/>
      <c r="B33" s="68"/>
      <c r="C33" s="68"/>
      <c r="D33" s="68" t="s">
        <v>0</v>
      </c>
      <c r="E33" s="60" t="str">
        <f t="shared" si="0"/>
        <v>Thu</v>
      </c>
      <c r="F33" s="154">
        <v>5</v>
      </c>
      <c r="G33" s="322"/>
      <c r="H33" s="323"/>
      <c r="I33" s="315"/>
      <c r="J33" s="316"/>
      <c r="K33" s="315"/>
      <c r="L33" s="363"/>
      <c r="M33" s="133"/>
      <c r="N33" s="133"/>
      <c r="O33" s="131"/>
      <c r="P33" s="132"/>
      <c r="Q33" s="135"/>
      <c r="R33" s="136"/>
      <c r="S33" s="146"/>
      <c r="T33" s="147"/>
      <c r="U33" s="360"/>
      <c r="V33" s="361"/>
      <c r="AA33" s="129" t="str">
        <f t="shared" si="2"/>
        <v> </v>
      </c>
      <c r="AC33" s="255">
        <f t="shared" si="1"/>
      </c>
    </row>
    <row r="34" spans="1:29" ht="10.5" customHeight="1">
      <c r="A34" s="67"/>
      <c r="B34" s="68"/>
      <c r="C34" s="68"/>
      <c r="D34" s="68" t="s">
        <v>0</v>
      </c>
      <c r="E34" s="60" t="str">
        <f t="shared" si="0"/>
        <v>Fri</v>
      </c>
      <c r="F34" s="154">
        <v>6</v>
      </c>
      <c r="G34" s="322"/>
      <c r="H34" s="323"/>
      <c r="I34" s="315"/>
      <c r="J34" s="316"/>
      <c r="K34" s="315"/>
      <c r="L34" s="363"/>
      <c r="M34" s="133"/>
      <c r="N34" s="133"/>
      <c r="O34" s="131"/>
      <c r="P34" s="132"/>
      <c r="Q34" s="135"/>
      <c r="R34" s="136"/>
      <c r="S34" s="146"/>
      <c r="T34" s="147"/>
      <c r="U34" s="360"/>
      <c r="V34" s="361"/>
      <c r="AA34" s="129" t="str">
        <f t="shared" si="2"/>
        <v> </v>
      </c>
      <c r="AC34" s="255">
        <f t="shared" si="1"/>
      </c>
    </row>
    <row r="35" spans="1:29" ht="10.5" customHeight="1">
      <c r="A35" s="67"/>
      <c r="B35" s="68"/>
      <c r="C35" s="68"/>
      <c r="D35" s="68" t="s">
        <v>0</v>
      </c>
      <c r="E35" s="60" t="str">
        <f t="shared" si="0"/>
        <v>Sat</v>
      </c>
      <c r="F35" s="154">
        <v>7</v>
      </c>
      <c r="G35" s="322"/>
      <c r="H35" s="323"/>
      <c r="I35" s="315"/>
      <c r="J35" s="316"/>
      <c r="K35" s="315"/>
      <c r="L35" s="363"/>
      <c r="M35" s="133"/>
      <c r="N35" s="133"/>
      <c r="O35" s="131"/>
      <c r="P35" s="132"/>
      <c r="Q35" s="135"/>
      <c r="R35" s="136"/>
      <c r="S35" s="146"/>
      <c r="T35" s="147"/>
      <c r="U35" s="360"/>
      <c r="V35" s="361"/>
      <c r="AA35" s="129" t="str">
        <f t="shared" si="2"/>
        <v> </v>
      </c>
      <c r="AC35" s="255">
        <f t="shared" si="1"/>
      </c>
    </row>
    <row r="36" spans="1:29" ht="10.5" customHeight="1">
      <c r="A36" s="67"/>
      <c r="B36" s="68"/>
      <c r="C36" s="68"/>
      <c r="D36" s="68" t="s">
        <v>0</v>
      </c>
      <c r="E36" s="60" t="str">
        <f t="shared" si="0"/>
        <v>Sun</v>
      </c>
      <c r="F36" s="154">
        <v>8</v>
      </c>
      <c r="G36" s="322"/>
      <c r="H36" s="323"/>
      <c r="I36" s="315"/>
      <c r="J36" s="316"/>
      <c r="K36" s="315"/>
      <c r="L36" s="363"/>
      <c r="M36" s="133"/>
      <c r="N36" s="133"/>
      <c r="O36" s="131"/>
      <c r="P36" s="132"/>
      <c r="Q36" s="135"/>
      <c r="R36" s="136"/>
      <c r="S36" s="146"/>
      <c r="T36" s="147"/>
      <c r="U36" s="360"/>
      <c r="V36" s="361"/>
      <c r="AA36" s="129" t="str">
        <f t="shared" si="2"/>
        <v> </v>
      </c>
      <c r="AC36" s="255">
        <f t="shared" si="1"/>
      </c>
    </row>
    <row r="37" spans="1:29" ht="10.5" customHeight="1">
      <c r="A37" s="67"/>
      <c r="B37" s="68"/>
      <c r="C37" s="68"/>
      <c r="D37" s="68" t="s">
        <v>0</v>
      </c>
      <c r="E37" s="60" t="str">
        <f t="shared" si="0"/>
        <v>Mon</v>
      </c>
      <c r="F37" s="154">
        <v>9</v>
      </c>
      <c r="G37" s="322"/>
      <c r="H37" s="323"/>
      <c r="I37" s="315"/>
      <c r="J37" s="316"/>
      <c r="K37" s="315"/>
      <c r="L37" s="363"/>
      <c r="M37" s="133"/>
      <c r="N37" s="133"/>
      <c r="O37" s="131"/>
      <c r="P37" s="132"/>
      <c r="Q37" s="135"/>
      <c r="R37" s="136"/>
      <c r="S37" s="146"/>
      <c r="T37" s="147"/>
      <c r="U37" s="360"/>
      <c r="V37" s="361"/>
      <c r="AA37" s="129" t="str">
        <f t="shared" si="2"/>
        <v> </v>
      </c>
      <c r="AC37" s="255">
        <f t="shared" si="1"/>
      </c>
    </row>
    <row r="38" spans="1:29" ht="10.5" customHeight="1">
      <c r="A38" s="67"/>
      <c r="B38" s="68"/>
      <c r="C38" s="68"/>
      <c r="D38" s="68" t="s">
        <v>0</v>
      </c>
      <c r="E38" s="60" t="str">
        <f t="shared" si="0"/>
        <v>Tue</v>
      </c>
      <c r="F38" s="154">
        <v>10</v>
      </c>
      <c r="G38" s="322"/>
      <c r="H38" s="323"/>
      <c r="I38" s="315"/>
      <c r="J38" s="316"/>
      <c r="K38" s="315"/>
      <c r="L38" s="363"/>
      <c r="M38" s="133"/>
      <c r="N38" s="133"/>
      <c r="O38" s="131"/>
      <c r="P38" s="132"/>
      <c r="Q38" s="135"/>
      <c r="R38" s="136"/>
      <c r="S38" s="146"/>
      <c r="T38" s="147"/>
      <c r="U38" s="360"/>
      <c r="V38" s="361"/>
      <c r="AA38" s="129" t="str">
        <f t="shared" si="2"/>
        <v> </v>
      </c>
      <c r="AC38" s="255">
        <f t="shared" si="1"/>
      </c>
    </row>
    <row r="39" spans="1:29" ht="10.5" customHeight="1">
      <c r="A39" s="67"/>
      <c r="B39" s="68"/>
      <c r="C39" s="68"/>
      <c r="D39" s="68" t="s">
        <v>0</v>
      </c>
      <c r="E39" s="60" t="str">
        <f t="shared" si="0"/>
        <v>Wed</v>
      </c>
      <c r="F39" s="154">
        <v>11</v>
      </c>
      <c r="G39" s="322"/>
      <c r="H39" s="323"/>
      <c r="I39" s="315"/>
      <c r="J39" s="316"/>
      <c r="K39" s="315"/>
      <c r="L39" s="363"/>
      <c r="M39" s="133"/>
      <c r="N39" s="133"/>
      <c r="O39" s="131"/>
      <c r="P39" s="132"/>
      <c r="Q39" s="135"/>
      <c r="R39" s="136"/>
      <c r="S39" s="146"/>
      <c r="T39" s="147"/>
      <c r="U39" s="360"/>
      <c r="V39" s="361"/>
      <c r="AA39" s="129" t="str">
        <f t="shared" si="2"/>
        <v> </v>
      </c>
      <c r="AC39" s="255">
        <f t="shared" si="1"/>
      </c>
    </row>
    <row r="40" spans="1:29" ht="10.5" customHeight="1">
      <c r="A40" s="67"/>
      <c r="B40" s="68"/>
      <c r="C40" s="68"/>
      <c r="D40" s="68" t="s">
        <v>0</v>
      </c>
      <c r="E40" s="60" t="str">
        <f t="shared" si="0"/>
        <v>Thu</v>
      </c>
      <c r="F40" s="154">
        <v>12</v>
      </c>
      <c r="G40" s="322"/>
      <c r="H40" s="323"/>
      <c r="I40" s="315"/>
      <c r="J40" s="316"/>
      <c r="K40" s="315"/>
      <c r="L40" s="363"/>
      <c r="M40" s="133"/>
      <c r="N40" s="133"/>
      <c r="O40" s="131"/>
      <c r="P40" s="132"/>
      <c r="Q40" s="135"/>
      <c r="R40" s="136"/>
      <c r="S40" s="146"/>
      <c r="T40" s="147"/>
      <c r="U40" s="360"/>
      <c r="V40" s="361"/>
      <c r="AA40" s="129" t="str">
        <f t="shared" si="2"/>
        <v> </v>
      </c>
      <c r="AC40" s="255">
        <f t="shared" si="1"/>
      </c>
    </row>
    <row r="41" spans="1:29" ht="10.5" customHeight="1">
      <c r="A41" s="67"/>
      <c r="B41" s="68"/>
      <c r="C41" s="68"/>
      <c r="D41" s="68" t="s">
        <v>0</v>
      </c>
      <c r="E41" s="60" t="str">
        <f t="shared" si="0"/>
        <v>Fri</v>
      </c>
      <c r="F41" s="154">
        <v>13</v>
      </c>
      <c r="G41" s="322"/>
      <c r="H41" s="323"/>
      <c r="I41" s="315"/>
      <c r="J41" s="316"/>
      <c r="K41" s="315"/>
      <c r="L41" s="363"/>
      <c r="M41" s="133"/>
      <c r="N41" s="133"/>
      <c r="O41" s="131"/>
      <c r="P41" s="132"/>
      <c r="Q41" s="135"/>
      <c r="R41" s="136"/>
      <c r="S41" s="146"/>
      <c r="T41" s="147"/>
      <c r="U41" s="360"/>
      <c r="V41" s="361"/>
      <c r="AA41" s="129" t="str">
        <f t="shared" si="2"/>
        <v> </v>
      </c>
      <c r="AC41" s="255">
        <f t="shared" si="1"/>
      </c>
    </row>
    <row r="42" spans="1:29" ht="10.5" customHeight="1">
      <c r="A42" s="67"/>
      <c r="B42" s="68"/>
      <c r="C42" s="68"/>
      <c r="D42" s="68" t="s">
        <v>0</v>
      </c>
      <c r="E42" s="60" t="str">
        <f t="shared" si="0"/>
        <v>Sat</v>
      </c>
      <c r="F42" s="154">
        <v>14</v>
      </c>
      <c r="G42" s="322"/>
      <c r="H42" s="323"/>
      <c r="I42" s="315"/>
      <c r="J42" s="316"/>
      <c r="K42" s="315"/>
      <c r="L42" s="363"/>
      <c r="M42" s="133"/>
      <c r="N42" s="133"/>
      <c r="O42" s="131"/>
      <c r="P42" s="132"/>
      <c r="Q42" s="135"/>
      <c r="R42" s="136"/>
      <c r="S42" s="146"/>
      <c r="T42" s="147"/>
      <c r="U42" s="360"/>
      <c r="V42" s="361"/>
      <c r="AA42" s="129" t="str">
        <f t="shared" si="2"/>
        <v> </v>
      </c>
      <c r="AC42" s="255">
        <f t="shared" si="1"/>
      </c>
    </row>
    <row r="43" spans="1:29" ht="10.5" customHeight="1">
      <c r="A43" s="67"/>
      <c r="B43" s="68"/>
      <c r="C43" s="68"/>
      <c r="D43" s="68" t="s">
        <v>0</v>
      </c>
      <c r="E43" s="60" t="str">
        <f t="shared" si="0"/>
        <v>Sun</v>
      </c>
      <c r="F43" s="154">
        <v>15</v>
      </c>
      <c r="G43" s="322"/>
      <c r="H43" s="323"/>
      <c r="I43" s="315"/>
      <c r="J43" s="316"/>
      <c r="K43" s="315"/>
      <c r="L43" s="363"/>
      <c r="M43" s="133"/>
      <c r="N43" s="133"/>
      <c r="O43" s="131"/>
      <c r="P43" s="132"/>
      <c r="Q43" s="135"/>
      <c r="R43" s="136"/>
      <c r="S43" s="146"/>
      <c r="T43" s="147"/>
      <c r="U43" s="360"/>
      <c r="V43" s="361"/>
      <c r="AA43" s="129" t="str">
        <f t="shared" si="2"/>
        <v> </v>
      </c>
      <c r="AC43" s="255">
        <f t="shared" si="1"/>
      </c>
    </row>
    <row r="44" spans="1:29" ht="10.5" customHeight="1">
      <c r="A44" s="67"/>
      <c r="B44" s="68"/>
      <c r="C44" s="68"/>
      <c r="D44" s="68" t="s">
        <v>0</v>
      </c>
      <c r="E44" s="60" t="str">
        <f t="shared" si="0"/>
        <v>Mon</v>
      </c>
      <c r="F44" s="154">
        <v>16</v>
      </c>
      <c r="G44" s="322"/>
      <c r="H44" s="323"/>
      <c r="I44" s="315"/>
      <c r="J44" s="316"/>
      <c r="K44" s="315"/>
      <c r="L44" s="363"/>
      <c r="M44" s="133"/>
      <c r="N44" s="133"/>
      <c r="O44" s="131"/>
      <c r="P44" s="132"/>
      <c r="Q44" s="135"/>
      <c r="R44" s="136"/>
      <c r="S44" s="146"/>
      <c r="T44" s="147"/>
      <c r="U44" s="360"/>
      <c r="V44" s="361"/>
      <c r="AA44" s="129" t="str">
        <f t="shared" si="2"/>
        <v> </v>
      </c>
      <c r="AC44" s="255">
        <f t="shared" si="1"/>
      </c>
    </row>
    <row r="45" spans="1:29" ht="10.5" customHeight="1">
      <c r="A45" s="67"/>
      <c r="B45" s="68"/>
      <c r="C45" s="68"/>
      <c r="D45" s="68" t="s">
        <v>0</v>
      </c>
      <c r="E45" s="60" t="str">
        <f t="shared" si="0"/>
        <v>Tue</v>
      </c>
      <c r="F45" s="154">
        <v>17</v>
      </c>
      <c r="G45" s="322"/>
      <c r="H45" s="323"/>
      <c r="I45" s="315"/>
      <c r="J45" s="316"/>
      <c r="K45" s="315"/>
      <c r="L45" s="363"/>
      <c r="M45" s="133"/>
      <c r="N45" s="133"/>
      <c r="O45" s="131"/>
      <c r="P45" s="132"/>
      <c r="Q45" s="135"/>
      <c r="R45" s="136"/>
      <c r="S45" s="146"/>
      <c r="T45" s="147"/>
      <c r="U45" s="360"/>
      <c r="V45" s="361"/>
      <c r="AA45" s="129" t="str">
        <f t="shared" si="2"/>
        <v> </v>
      </c>
      <c r="AC45" s="255">
        <f t="shared" si="1"/>
      </c>
    </row>
    <row r="46" spans="1:29" ht="10.5" customHeight="1">
      <c r="A46" s="67"/>
      <c r="B46" s="68"/>
      <c r="C46" s="68"/>
      <c r="D46" s="68" t="s">
        <v>0</v>
      </c>
      <c r="E46" s="60" t="str">
        <f t="shared" si="0"/>
        <v>Wed</v>
      </c>
      <c r="F46" s="154">
        <v>18</v>
      </c>
      <c r="G46" s="322"/>
      <c r="H46" s="323"/>
      <c r="I46" s="315"/>
      <c r="J46" s="316"/>
      <c r="K46" s="315"/>
      <c r="L46" s="363"/>
      <c r="M46" s="133"/>
      <c r="N46" s="133"/>
      <c r="O46" s="131"/>
      <c r="P46" s="132"/>
      <c r="Q46" s="135"/>
      <c r="R46" s="136"/>
      <c r="S46" s="146"/>
      <c r="T46" s="147"/>
      <c r="U46" s="360"/>
      <c r="V46" s="361"/>
      <c r="AA46" s="129" t="str">
        <f t="shared" si="2"/>
        <v> </v>
      </c>
      <c r="AC46" s="255"/>
    </row>
    <row r="47" spans="1:29" ht="10.5" customHeight="1">
      <c r="A47" s="67"/>
      <c r="B47" s="68"/>
      <c r="C47" s="68"/>
      <c r="D47" s="68" t="s">
        <v>0</v>
      </c>
      <c r="E47" s="60" t="str">
        <f t="shared" si="0"/>
        <v>Thu</v>
      </c>
      <c r="F47" s="154">
        <v>19</v>
      </c>
      <c r="G47" s="322"/>
      <c r="H47" s="323"/>
      <c r="I47" s="315"/>
      <c r="J47" s="316"/>
      <c r="K47" s="315"/>
      <c r="L47" s="363"/>
      <c r="M47" s="133"/>
      <c r="N47" s="133"/>
      <c r="O47" s="131"/>
      <c r="P47" s="132"/>
      <c r="Q47" s="135"/>
      <c r="R47" s="136"/>
      <c r="S47" s="146"/>
      <c r="T47" s="147"/>
      <c r="U47" s="360"/>
      <c r="V47" s="361"/>
      <c r="AA47" s="129" t="str">
        <f t="shared" si="2"/>
        <v> </v>
      </c>
      <c r="AC47" s="255">
        <f aca="true" t="shared" si="3" ref="AC47:AC59">IF($R47&gt;235,1,"")</f>
      </c>
    </row>
    <row r="48" spans="1:29" ht="10.5" customHeight="1">
      <c r="A48" s="67"/>
      <c r="B48" s="68"/>
      <c r="C48" s="68"/>
      <c r="D48" s="68" t="s">
        <v>0</v>
      </c>
      <c r="E48" s="60" t="str">
        <f t="shared" si="0"/>
        <v>Fri</v>
      </c>
      <c r="F48" s="154">
        <v>20</v>
      </c>
      <c r="G48" s="322"/>
      <c r="H48" s="323"/>
      <c r="I48" s="315"/>
      <c r="J48" s="316"/>
      <c r="K48" s="315"/>
      <c r="L48" s="363"/>
      <c r="M48" s="133"/>
      <c r="N48" s="133"/>
      <c r="O48" s="131"/>
      <c r="P48" s="132"/>
      <c r="Q48" s="135"/>
      <c r="R48" s="136"/>
      <c r="S48" s="146"/>
      <c r="T48" s="147"/>
      <c r="U48" s="360"/>
      <c r="V48" s="361"/>
      <c r="AA48" s="129" t="str">
        <f t="shared" si="2"/>
        <v> </v>
      </c>
      <c r="AC48" s="255">
        <f t="shared" si="3"/>
      </c>
    </row>
    <row r="49" spans="1:29" ht="10.5" customHeight="1">
      <c r="A49" s="67"/>
      <c r="B49" s="68"/>
      <c r="C49" s="68"/>
      <c r="D49" s="68" t="s">
        <v>0</v>
      </c>
      <c r="E49" s="60" t="str">
        <f t="shared" si="0"/>
        <v>Sat</v>
      </c>
      <c r="F49" s="154">
        <v>21</v>
      </c>
      <c r="G49" s="322"/>
      <c r="H49" s="323"/>
      <c r="I49" s="315"/>
      <c r="J49" s="316"/>
      <c r="K49" s="315"/>
      <c r="L49" s="363"/>
      <c r="M49" s="133"/>
      <c r="N49" s="133"/>
      <c r="O49" s="131"/>
      <c r="P49" s="132"/>
      <c r="Q49" s="135"/>
      <c r="R49" s="136"/>
      <c r="S49" s="146"/>
      <c r="T49" s="147"/>
      <c r="U49" s="360"/>
      <c r="V49" s="361"/>
      <c r="AA49" s="129" t="str">
        <f t="shared" si="2"/>
        <v> </v>
      </c>
      <c r="AC49" s="255">
        <f t="shared" si="3"/>
      </c>
    </row>
    <row r="50" spans="1:29" ht="10.5" customHeight="1">
      <c r="A50" s="67"/>
      <c r="B50" s="68"/>
      <c r="C50" s="68"/>
      <c r="D50" s="68" t="s">
        <v>0</v>
      </c>
      <c r="E50" s="60" t="str">
        <f t="shared" si="0"/>
        <v>Sun</v>
      </c>
      <c r="F50" s="154">
        <v>22</v>
      </c>
      <c r="G50" s="322"/>
      <c r="H50" s="323"/>
      <c r="I50" s="315"/>
      <c r="J50" s="316"/>
      <c r="K50" s="315"/>
      <c r="L50" s="363"/>
      <c r="M50" s="133"/>
      <c r="N50" s="133"/>
      <c r="O50" s="131"/>
      <c r="P50" s="132"/>
      <c r="Q50" s="135"/>
      <c r="R50" s="136"/>
      <c r="S50" s="146"/>
      <c r="T50" s="147"/>
      <c r="U50" s="360"/>
      <c r="V50" s="361"/>
      <c r="AA50" s="129" t="str">
        <f t="shared" si="2"/>
        <v> </v>
      </c>
      <c r="AC50" s="255">
        <f t="shared" si="3"/>
      </c>
    </row>
    <row r="51" spans="1:29" ht="10.5" customHeight="1">
      <c r="A51" s="67"/>
      <c r="B51" s="68"/>
      <c r="C51" s="68"/>
      <c r="D51" s="68" t="s">
        <v>0</v>
      </c>
      <c r="E51" s="60" t="str">
        <f t="shared" si="0"/>
        <v>Mon</v>
      </c>
      <c r="F51" s="154">
        <v>23</v>
      </c>
      <c r="G51" s="322"/>
      <c r="H51" s="323"/>
      <c r="I51" s="315"/>
      <c r="J51" s="316"/>
      <c r="K51" s="315"/>
      <c r="L51" s="363"/>
      <c r="M51" s="133"/>
      <c r="N51" s="133"/>
      <c r="O51" s="131"/>
      <c r="P51" s="132"/>
      <c r="Q51" s="135"/>
      <c r="R51" s="136"/>
      <c r="S51" s="146"/>
      <c r="T51" s="147"/>
      <c r="U51" s="360"/>
      <c r="V51" s="361"/>
      <c r="AA51" s="129" t="str">
        <f t="shared" si="2"/>
        <v> </v>
      </c>
      <c r="AC51" s="255">
        <f t="shared" si="3"/>
      </c>
    </row>
    <row r="52" spans="1:29" ht="10.5" customHeight="1">
      <c r="A52" s="67"/>
      <c r="B52" s="68"/>
      <c r="C52" s="68"/>
      <c r="D52" s="68" t="s">
        <v>0</v>
      </c>
      <c r="E52" s="60" t="str">
        <f t="shared" si="0"/>
        <v>Tue</v>
      </c>
      <c r="F52" s="154">
        <v>24</v>
      </c>
      <c r="G52" s="322"/>
      <c r="H52" s="323"/>
      <c r="I52" s="315"/>
      <c r="J52" s="316"/>
      <c r="K52" s="315"/>
      <c r="L52" s="363"/>
      <c r="M52" s="133"/>
      <c r="N52" s="133"/>
      <c r="O52" s="131"/>
      <c r="P52" s="132"/>
      <c r="Q52" s="135"/>
      <c r="R52" s="136"/>
      <c r="S52" s="146"/>
      <c r="T52" s="147"/>
      <c r="U52" s="360"/>
      <c r="V52" s="361"/>
      <c r="AA52" s="129" t="str">
        <f t="shared" si="2"/>
        <v> </v>
      </c>
      <c r="AC52" s="255">
        <f t="shared" si="3"/>
      </c>
    </row>
    <row r="53" spans="1:29" ht="10.5" customHeight="1">
      <c r="A53" s="67"/>
      <c r="B53" s="68"/>
      <c r="C53" s="68"/>
      <c r="D53" s="68" t="s">
        <v>0</v>
      </c>
      <c r="E53" s="60" t="str">
        <f t="shared" si="0"/>
        <v>Wed</v>
      </c>
      <c r="F53" s="154">
        <v>25</v>
      </c>
      <c r="G53" s="322"/>
      <c r="H53" s="323"/>
      <c r="I53" s="315"/>
      <c r="J53" s="316"/>
      <c r="K53" s="315"/>
      <c r="L53" s="363"/>
      <c r="M53" s="133"/>
      <c r="N53" s="133"/>
      <c r="O53" s="131"/>
      <c r="P53" s="132"/>
      <c r="Q53" s="135"/>
      <c r="R53" s="136"/>
      <c r="S53" s="146"/>
      <c r="T53" s="147"/>
      <c r="U53" s="360"/>
      <c r="V53" s="361"/>
      <c r="AA53" s="129" t="str">
        <f t="shared" si="2"/>
        <v> </v>
      </c>
      <c r="AC53" s="255">
        <f t="shared" si="3"/>
      </c>
    </row>
    <row r="54" spans="1:29" ht="10.5" customHeight="1">
      <c r="A54" s="67"/>
      <c r="B54" s="68"/>
      <c r="C54" s="68"/>
      <c r="D54" s="68" t="s">
        <v>0</v>
      </c>
      <c r="E54" s="60" t="str">
        <f t="shared" si="0"/>
        <v>Thu</v>
      </c>
      <c r="F54" s="154">
        <v>26</v>
      </c>
      <c r="G54" s="322"/>
      <c r="H54" s="323"/>
      <c r="I54" s="315"/>
      <c r="J54" s="316"/>
      <c r="K54" s="315"/>
      <c r="L54" s="363"/>
      <c r="M54" s="133"/>
      <c r="N54" s="133"/>
      <c r="O54" s="131"/>
      <c r="P54" s="132"/>
      <c r="Q54" s="135"/>
      <c r="R54" s="136"/>
      <c r="S54" s="146"/>
      <c r="T54" s="147"/>
      <c r="U54" s="360"/>
      <c r="V54" s="361"/>
      <c r="AA54" s="129" t="str">
        <f t="shared" si="2"/>
        <v> </v>
      </c>
      <c r="AC54" s="255">
        <f t="shared" si="3"/>
      </c>
    </row>
    <row r="55" spans="1:29" ht="10.5" customHeight="1">
      <c r="A55" s="67"/>
      <c r="B55" s="68"/>
      <c r="C55" s="68"/>
      <c r="D55" s="68" t="s">
        <v>0</v>
      </c>
      <c r="E55" s="60" t="str">
        <f t="shared" si="0"/>
        <v>Fri</v>
      </c>
      <c r="F55" s="154">
        <v>27</v>
      </c>
      <c r="G55" s="322"/>
      <c r="H55" s="323"/>
      <c r="I55" s="315"/>
      <c r="J55" s="316"/>
      <c r="K55" s="315"/>
      <c r="L55" s="363"/>
      <c r="M55" s="133"/>
      <c r="N55" s="133"/>
      <c r="O55" s="131"/>
      <c r="P55" s="132"/>
      <c r="Q55" s="135"/>
      <c r="R55" s="136"/>
      <c r="S55" s="146"/>
      <c r="T55" s="147"/>
      <c r="U55" s="360"/>
      <c r="V55" s="361"/>
      <c r="AA55" s="129" t="str">
        <f t="shared" si="2"/>
        <v> </v>
      </c>
      <c r="AC55" s="255">
        <f t="shared" si="3"/>
      </c>
    </row>
    <row r="56" spans="1:29" ht="10.5" customHeight="1">
      <c r="A56" s="67"/>
      <c r="B56" s="68"/>
      <c r="C56" s="68"/>
      <c r="D56" s="68" t="s">
        <v>0</v>
      </c>
      <c r="E56" s="60" t="str">
        <f t="shared" si="0"/>
        <v>Sat</v>
      </c>
      <c r="F56" s="154">
        <v>28</v>
      </c>
      <c r="G56" s="322"/>
      <c r="H56" s="323"/>
      <c r="I56" s="315"/>
      <c r="J56" s="316"/>
      <c r="K56" s="315"/>
      <c r="L56" s="363"/>
      <c r="M56" s="133"/>
      <c r="N56" s="133"/>
      <c r="O56" s="131"/>
      <c r="P56" s="132"/>
      <c r="Q56" s="135"/>
      <c r="R56" s="136"/>
      <c r="S56" s="146"/>
      <c r="T56" s="147"/>
      <c r="U56" s="360"/>
      <c r="V56" s="361"/>
      <c r="AA56" s="129" t="str">
        <f t="shared" si="2"/>
        <v> </v>
      </c>
      <c r="AC56" s="255">
        <f t="shared" si="3"/>
      </c>
    </row>
    <row r="57" spans="1:29" ht="10.5" customHeight="1">
      <c r="A57" s="67"/>
      <c r="B57" s="68"/>
      <c r="C57" s="68"/>
      <c r="D57" s="68" t="s">
        <v>0</v>
      </c>
      <c r="E57" s="60" t="str">
        <f t="shared" si="0"/>
        <v>Sun</v>
      </c>
      <c r="F57" s="154">
        <f>IF(10*P13+Q13&lt;&gt;2,29,IF(INT((R13+S13)/4)=(R13+S13)/4,29,""))</f>
        <v>29</v>
      </c>
      <c r="G57" s="322"/>
      <c r="H57" s="323"/>
      <c r="I57" s="315"/>
      <c r="J57" s="316"/>
      <c r="K57" s="315"/>
      <c r="L57" s="363"/>
      <c r="M57" s="133"/>
      <c r="N57" s="133"/>
      <c r="O57" s="131"/>
      <c r="P57" s="132"/>
      <c r="Q57" s="135"/>
      <c r="R57" s="136"/>
      <c r="S57" s="146"/>
      <c r="T57" s="147"/>
      <c r="U57" s="360"/>
      <c r="V57" s="361"/>
      <c r="AA57" s="129" t="str">
        <f t="shared" si="2"/>
        <v> </v>
      </c>
      <c r="AC57" s="255">
        <f t="shared" si="3"/>
      </c>
    </row>
    <row r="58" spans="1:29" ht="10.5" customHeight="1">
      <c r="A58" s="67"/>
      <c r="B58" s="68"/>
      <c r="C58" s="68"/>
      <c r="D58" s="68" t="s">
        <v>0</v>
      </c>
      <c r="E58" s="60" t="str">
        <f t="shared" si="0"/>
        <v>Mon</v>
      </c>
      <c r="F58" s="154">
        <f>IF(10*P13+Q13&lt;&gt;2,30,"")</f>
        <v>30</v>
      </c>
      <c r="G58" s="322"/>
      <c r="H58" s="323"/>
      <c r="I58" s="315"/>
      <c r="J58" s="316"/>
      <c r="K58" s="315"/>
      <c r="L58" s="363"/>
      <c r="M58" s="133"/>
      <c r="N58" s="133"/>
      <c r="O58" s="131"/>
      <c r="P58" s="132"/>
      <c r="Q58" s="135"/>
      <c r="R58" s="136"/>
      <c r="S58" s="146"/>
      <c r="T58" s="147"/>
      <c r="U58" s="360"/>
      <c r="V58" s="361"/>
      <c r="AA58" s="129" t="str">
        <f t="shared" si="2"/>
        <v> </v>
      </c>
      <c r="AC58" s="255">
        <f t="shared" si="3"/>
      </c>
    </row>
    <row r="59" spans="1:29" ht="10.5" customHeight="1">
      <c r="A59" s="63"/>
      <c r="B59" s="64"/>
      <c r="C59" s="64"/>
      <c r="D59" s="64" t="s">
        <v>0</v>
      </c>
      <c r="E59" s="60" t="str">
        <f t="shared" si="0"/>
        <v>Tue</v>
      </c>
      <c r="F59" s="154">
        <v>31</v>
      </c>
      <c r="G59" s="322"/>
      <c r="H59" s="323"/>
      <c r="I59" s="315"/>
      <c r="J59" s="316"/>
      <c r="K59" s="315"/>
      <c r="L59" s="363"/>
      <c r="M59" s="133" t="s">
        <v>0</v>
      </c>
      <c r="N59" s="133"/>
      <c r="O59" s="131"/>
      <c r="P59" s="132"/>
      <c r="Q59" s="135"/>
      <c r="R59" s="258"/>
      <c r="S59" s="146"/>
      <c r="T59" s="147"/>
      <c r="U59" s="360"/>
      <c r="V59" s="361"/>
      <c r="AA59" s="129" t="str">
        <f t="shared" si="2"/>
        <v> </v>
      </c>
      <c r="AC59" s="261">
        <f t="shared" si="3"/>
      </c>
    </row>
    <row r="60" spans="1:29" ht="10.5" customHeight="1">
      <c r="A60" s="407" t="s">
        <v>90</v>
      </c>
      <c r="B60" s="408"/>
      <c r="C60" s="408"/>
      <c r="D60" s="408"/>
      <c r="E60" s="408"/>
      <c r="F60" s="409"/>
      <c r="G60" s="330">
        <f>IF(SUM(G29:G59)&gt;0,AVERAGE(G29:G59),"")</f>
      </c>
      <c r="H60" s="325" t="str">
        <f>IF(SUM(H29:H59)&gt;0,AVERAGE(H29:H59)," ")</f>
        <v> </v>
      </c>
      <c r="I60" s="364">
        <f>IF(SUM(I29:I59)&gt;0,AVERAGE(I29:I59),"")</f>
      </c>
      <c r="J60" s="410"/>
      <c r="K60" s="364">
        <f>IF(SUM(K29:K59)&gt;0,AVERAGE(K29:K59),"")</f>
      </c>
      <c r="L60" s="365" t="str">
        <f>IF(SUM(L29:L59)&gt;0,AVERAGE(L29:L59)," ")</f>
        <v> </v>
      </c>
      <c r="M60" s="366"/>
      <c r="N60" s="367"/>
      <c r="O60" s="130"/>
      <c r="P60" s="130">
        <f>IF(SUM(P29:P59)&gt;0,AVERAGE(P29:P59),"")</f>
      </c>
      <c r="Q60" s="137"/>
      <c r="R60" s="262">
        <f>IF(COUNT(AA29:AA59)&gt;0,AA60,"")</f>
      </c>
      <c r="S60" s="256"/>
      <c r="T60" s="145">
        <f>IF(SUM(T29:T59)&gt;0,AVERAGE(T29:T59),"")</f>
      </c>
      <c r="U60" s="364">
        <f>IF(SUM(U29:U59)&gt;0,AVERAGE(U29:U59),"")</f>
      </c>
      <c r="V60" s="365" t="str">
        <f>IF(SUM(V29:V59)&gt;0,AVERAGE(V29:V59)," ")</f>
        <v> </v>
      </c>
      <c r="AA60" s="260" t="e">
        <f>IF(COUNT($AA$29:$AA$59)&gt;2,GEOMEAN($AA$29:$AA$59),AVERAGE($AA$29:$AA$59))</f>
        <v>#DIV/0!</v>
      </c>
      <c r="AB60" s="123"/>
      <c r="AC60" s="255">
        <f>SUM(AC34:AC59)</f>
        <v>0</v>
      </c>
    </row>
    <row r="61" spans="1:22" ht="10.5" customHeight="1">
      <c r="A61" s="60" t="s">
        <v>17</v>
      </c>
      <c r="B61" s="61"/>
      <c r="C61" s="61"/>
      <c r="D61" s="61"/>
      <c r="E61" s="61"/>
      <c r="F61" s="62" t="s">
        <v>0</v>
      </c>
      <c r="G61" s="330">
        <f>IF(SUM(G29:G59)&gt;0,MAX(G29:G59),"")</f>
      </c>
      <c r="H61" s="325" t="str">
        <f>IF(SUM(H29:H59)&gt;0,MAX(H29:H59)," ")</f>
        <v> </v>
      </c>
      <c r="I61" s="364">
        <f>IF(SUM(I29:I59)&gt;0,MAX(I29:I59),"")</f>
      </c>
      <c r="J61" s="410"/>
      <c r="K61" s="364">
        <f>IF(SUM(K29:K59)&gt;0,MAX(K29:K59),"")</f>
      </c>
      <c r="L61" s="365" t="str">
        <f>IF(SUM(L29:L59)&gt;0,MAX(L29:L59)," ")</f>
        <v> </v>
      </c>
      <c r="M61" s="366">
        <f>IF(SUM(M29:N59)&gt;0,MAX(M29:N59),"")</f>
      </c>
      <c r="N61" s="367" t="str">
        <f>IF(SUM(N29:N59)&gt;0,MAX(N29:N59)," ")</f>
        <v> </v>
      </c>
      <c r="O61" s="130"/>
      <c r="P61" s="130">
        <f>IF(SUM(P29:P59)&gt;0,MAX(P29:P59),"")</f>
      </c>
      <c r="Q61" s="134"/>
      <c r="R61" s="257">
        <f>IF(SUM(R29:S59)&gt;0,MAX(R29:R59),"")</f>
      </c>
      <c r="S61" s="148"/>
      <c r="T61" s="145">
        <f>IF(SUM(T29:T59)&gt;0,MAX(T29:T59),"")</f>
      </c>
      <c r="U61" s="364">
        <f>IF(SUM(U29:U59)&gt;0,MAX(U29:U59),"")</f>
      </c>
      <c r="V61" s="365" t="str">
        <f>IF(SUM(V29:V59)&gt;0,MAX(V29:V59)," ")</f>
        <v> </v>
      </c>
    </row>
    <row r="62" spans="1:29" ht="10.5" customHeight="1">
      <c r="A62" s="60" t="s">
        <v>18</v>
      </c>
      <c r="B62" s="61"/>
      <c r="C62" s="61"/>
      <c r="D62" s="61"/>
      <c r="E62" s="61"/>
      <c r="F62" s="62" t="s">
        <v>0</v>
      </c>
      <c r="G62" s="330">
        <f aca="true" t="shared" si="4" ref="G62:L62">IF(SUM(G29:G59)&gt;0,MIN(G29:G59),"")</f>
      </c>
      <c r="H62" s="325">
        <f t="shared" si="4"/>
      </c>
      <c r="I62" s="364">
        <f t="shared" si="4"/>
      </c>
      <c r="J62" s="410"/>
      <c r="K62" s="364">
        <f t="shared" si="4"/>
      </c>
      <c r="L62" s="365">
        <f t="shared" si="4"/>
      </c>
      <c r="M62" s="366">
        <f>IF(SUM(M29:N59)&gt;0,MIN(M29:N59),"")</f>
      </c>
      <c r="N62" s="367">
        <f>IF(SUM(N29:N59)&gt;0,MIN(N29:N59),"")</f>
      </c>
      <c r="O62" s="130"/>
      <c r="P62" s="130">
        <f>IF(SUM(P29:P59)&gt;0,MIN(P29:P59),"")</f>
      </c>
      <c r="Q62" s="134"/>
      <c r="R62" s="134">
        <f>IF(SUM(R29:S59)&gt;0,MIN(R29:R59),"")</f>
      </c>
      <c r="S62" s="148"/>
      <c r="T62" s="145">
        <f>IF(SUM(T29:T59)&gt;0,MIN(T29:T59),"")</f>
      </c>
      <c r="U62" s="364">
        <f>IF(SUM(U29:U59)&gt;0,MIN(U29:U59),"")</f>
      </c>
      <c r="V62" s="365">
        <f>IF(SUM(V29:V59)&gt;0,MIN(V29:V59),"")</f>
      </c>
      <c r="AC62" s="171"/>
    </row>
    <row r="63" spans="1:22" ht="10.5" customHeight="1" thickBot="1">
      <c r="A63" s="65" t="s">
        <v>21</v>
      </c>
      <c r="B63" s="66"/>
      <c r="C63" s="66"/>
      <c r="D63" s="66"/>
      <c r="E63" s="66"/>
      <c r="F63" s="71"/>
      <c r="G63" s="379">
        <f>SUM(G29:H59)</f>
        <v>0</v>
      </c>
      <c r="H63" s="379"/>
      <c r="I63" s="106"/>
      <c r="J63" s="105"/>
      <c r="K63" s="83"/>
      <c r="L63" s="83"/>
      <c r="M63" s="83"/>
      <c r="N63" s="83"/>
      <c r="O63" s="83"/>
      <c r="P63" s="83"/>
      <c r="Q63" s="83"/>
      <c r="R63" s="83"/>
      <c r="S63" s="107"/>
      <c r="T63" s="83"/>
      <c r="U63" s="83"/>
      <c r="V63" s="87"/>
    </row>
    <row r="64" spans="1:22" ht="10.5" customHeight="1">
      <c r="A64" s="76"/>
      <c r="B64" s="77"/>
      <c r="C64" s="77"/>
      <c r="D64" s="77"/>
      <c r="E64" s="77"/>
      <c r="F64" s="77"/>
      <c r="G64" s="77"/>
      <c r="H64" s="77"/>
      <c r="I64" s="77"/>
      <c r="J64" s="72" t="s">
        <v>22</v>
      </c>
      <c r="K64" s="73"/>
      <c r="L64" s="73"/>
      <c r="M64" s="73"/>
      <c r="N64" s="73"/>
      <c r="O64" s="73"/>
      <c r="P64" s="73"/>
      <c r="Q64" s="73"/>
      <c r="R64" s="73"/>
      <c r="S64" s="418" t="s">
        <v>163</v>
      </c>
      <c r="T64" s="419"/>
      <c r="U64" s="419"/>
      <c r="V64" s="420"/>
    </row>
    <row r="65" spans="1:22" ht="10.5" customHeight="1">
      <c r="A65" s="78" t="s">
        <v>23</v>
      </c>
      <c r="B65" s="79"/>
      <c r="C65" s="79"/>
      <c r="D65" s="79"/>
      <c r="E65" s="79"/>
      <c r="F65" s="79"/>
      <c r="G65" s="79"/>
      <c r="H65" s="79"/>
      <c r="I65" s="79"/>
      <c r="J65" s="380"/>
      <c r="K65" s="381"/>
      <c r="L65" s="381"/>
      <c r="M65" s="381"/>
      <c r="N65" s="381"/>
      <c r="O65" s="381"/>
      <c r="P65" s="381"/>
      <c r="Q65" s="381"/>
      <c r="R65" s="370"/>
      <c r="S65" s="374"/>
      <c r="T65" s="385"/>
      <c r="U65" s="385"/>
      <c r="V65" s="386"/>
    </row>
    <row r="66" spans="1:22" ht="10.5" customHeight="1">
      <c r="A66" s="80" t="s">
        <v>24</v>
      </c>
      <c r="B66" s="68"/>
      <c r="C66" s="68"/>
      <c r="D66" s="68"/>
      <c r="E66" s="68"/>
      <c r="F66" s="68"/>
      <c r="G66" s="68"/>
      <c r="H66" s="68"/>
      <c r="I66" s="68"/>
      <c r="J66" s="382"/>
      <c r="K66" s="383"/>
      <c r="L66" s="383"/>
      <c r="M66" s="383"/>
      <c r="N66" s="383"/>
      <c r="O66" s="383"/>
      <c r="P66" s="383"/>
      <c r="Q66" s="383"/>
      <c r="R66" s="384"/>
      <c r="S66" s="387"/>
      <c r="T66" s="388"/>
      <c r="U66" s="388"/>
      <c r="V66" s="389"/>
    </row>
    <row r="67" spans="1:22" ht="10.5" customHeight="1">
      <c r="A67" s="80" t="s">
        <v>25</v>
      </c>
      <c r="B67" s="68"/>
      <c r="C67" s="68"/>
      <c r="D67" s="68"/>
      <c r="E67" s="68"/>
      <c r="F67" s="68"/>
      <c r="G67" s="68"/>
      <c r="H67" s="68"/>
      <c r="I67" s="68"/>
      <c r="J67" s="390" t="s">
        <v>26</v>
      </c>
      <c r="K67" s="391"/>
      <c r="L67" s="391"/>
      <c r="M67" s="391"/>
      <c r="N67" s="391"/>
      <c r="O67" s="318"/>
      <c r="P67" s="319"/>
      <c r="Q67" s="396" t="s">
        <v>27</v>
      </c>
      <c r="R67" s="391"/>
      <c r="S67" s="391"/>
      <c r="T67" s="391"/>
      <c r="U67" s="391"/>
      <c r="V67" s="397"/>
    </row>
    <row r="68" spans="1:22" ht="10.5" customHeight="1">
      <c r="A68" s="80" t="s">
        <v>28</v>
      </c>
      <c r="B68" s="68"/>
      <c r="C68" s="68"/>
      <c r="D68" s="68"/>
      <c r="E68" s="68"/>
      <c r="F68" s="68"/>
      <c r="G68" s="68"/>
      <c r="H68" s="68"/>
      <c r="I68" s="68"/>
      <c r="J68" s="392"/>
      <c r="K68" s="393"/>
      <c r="L68" s="393"/>
      <c r="M68" s="393"/>
      <c r="N68" s="393"/>
      <c r="O68" s="394"/>
      <c r="P68" s="395"/>
      <c r="Q68" s="398"/>
      <c r="R68" s="393"/>
      <c r="S68" s="393"/>
      <c r="T68" s="393"/>
      <c r="U68" s="393"/>
      <c r="V68" s="399"/>
    </row>
    <row r="69" spans="1:22" ht="10.5" customHeight="1">
      <c r="A69" s="80" t="s">
        <v>29</v>
      </c>
      <c r="B69" s="68"/>
      <c r="C69" s="68"/>
      <c r="D69" s="68"/>
      <c r="E69" s="68"/>
      <c r="F69" s="68"/>
      <c r="G69" s="68"/>
      <c r="H69" s="68"/>
      <c r="I69" s="68"/>
      <c r="J69" s="400"/>
      <c r="K69" s="369"/>
      <c r="L69" s="369"/>
      <c r="M69" s="369"/>
      <c r="N69" s="369"/>
      <c r="O69" s="369"/>
      <c r="P69" s="370"/>
      <c r="Q69" s="401"/>
      <c r="R69" s="402"/>
      <c r="S69" s="402"/>
      <c r="T69" s="402"/>
      <c r="U69" s="402"/>
      <c r="V69" s="403"/>
    </row>
    <row r="70" spans="1:22" ht="10.5" customHeight="1" thickBot="1">
      <c r="A70" s="80" t="s">
        <v>30</v>
      </c>
      <c r="B70" s="68"/>
      <c r="C70" s="68"/>
      <c r="D70" s="68"/>
      <c r="E70" s="68"/>
      <c r="F70" s="68"/>
      <c r="G70" s="68"/>
      <c r="H70" s="68"/>
      <c r="I70" s="68"/>
      <c r="J70" s="371"/>
      <c r="K70" s="372"/>
      <c r="L70" s="372"/>
      <c r="M70" s="372"/>
      <c r="N70" s="372"/>
      <c r="O70" s="372"/>
      <c r="P70" s="373"/>
      <c r="Q70" s="404"/>
      <c r="R70" s="405"/>
      <c r="S70" s="405"/>
      <c r="T70" s="405"/>
      <c r="U70" s="405"/>
      <c r="V70" s="406"/>
    </row>
    <row r="71" spans="1:22" ht="10.5" customHeight="1">
      <c r="A71" s="80" t="s">
        <v>31</v>
      </c>
      <c r="B71" s="68"/>
      <c r="C71" s="68"/>
      <c r="D71" s="68"/>
      <c r="E71" s="68"/>
      <c r="F71" s="68"/>
      <c r="G71" s="68"/>
      <c r="H71" s="68"/>
      <c r="I71" s="68"/>
      <c r="J71" s="72" t="s">
        <v>32</v>
      </c>
      <c r="K71" s="73"/>
      <c r="L71" s="73"/>
      <c r="M71" s="73"/>
      <c r="N71" s="73"/>
      <c r="O71" s="73"/>
      <c r="P71" s="73"/>
      <c r="Q71" s="73"/>
      <c r="R71" s="73"/>
      <c r="S71" s="412" t="s">
        <v>163</v>
      </c>
      <c r="T71" s="413"/>
      <c r="U71" s="413"/>
      <c r="V71" s="414"/>
    </row>
    <row r="72" spans="1:22" ht="10.5" customHeight="1">
      <c r="A72" s="80" t="s">
        <v>33</v>
      </c>
      <c r="B72" s="68"/>
      <c r="C72" s="68"/>
      <c r="D72" s="68"/>
      <c r="E72" s="68"/>
      <c r="F72" s="68"/>
      <c r="G72" s="68"/>
      <c r="H72" s="68"/>
      <c r="I72" s="68"/>
      <c r="J72" s="74" t="s">
        <v>34</v>
      </c>
      <c r="K72" s="75"/>
      <c r="L72" s="75"/>
      <c r="M72" s="75"/>
      <c r="N72" s="75"/>
      <c r="O72" s="75"/>
      <c r="P72" s="75"/>
      <c r="Q72" s="75"/>
      <c r="R72" s="75"/>
      <c r="S72" s="415"/>
      <c r="T72" s="416"/>
      <c r="U72" s="416"/>
      <c r="V72" s="417"/>
    </row>
    <row r="73" spans="1:22" ht="10.5" customHeight="1">
      <c r="A73" s="80" t="s">
        <v>35</v>
      </c>
      <c r="B73" s="68"/>
      <c r="C73" s="68"/>
      <c r="D73" s="68"/>
      <c r="E73" s="68"/>
      <c r="F73" s="68"/>
      <c r="G73" s="68"/>
      <c r="H73" s="68"/>
      <c r="I73" s="68"/>
      <c r="J73" s="368"/>
      <c r="K73" s="369"/>
      <c r="L73" s="369"/>
      <c r="M73" s="369"/>
      <c r="N73" s="369"/>
      <c r="O73" s="369"/>
      <c r="P73" s="369"/>
      <c r="Q73" s="369"/>
      <c r="R73" s="370"/>
      <c r="S73" s="374"/>
      <c r="T73" s="369"/>
      <c r="U73" s="369"/>
      <c r="V73" s="375"/>
    </row>
    <row r="74" spans="1:22" ht="10.5" customHeight="1" thickBot="1">
      <c r="A74" s="81" t="s">
        <v>36</v>
      </c>
      <c r="B74" s="82"/>
      <c r="C74" s="82"/>
      <c r="D74" s="82"/>
      <c r="E74" s="82"/>
      <c r="F74" s="82"/>
      <c r="G74" s="82"/>
      <c r="H74" s="82"/>
      <c r="I74" s="82"/>
      <c r="J74" s="371"/>
      <c r="K74" s="372"/>
      <c r="L74" s="372"/>
      <c r="M74" s="372"/>
      <c r="N74" s="372"/>
      <c r="O74" s="372"/>
      <c r="P74" s="372"/>
      <c r="Q74" s="372"/>
      <c r="R74" s="373"/>
      <c r="S74" s="376"/>
      <c r="T74" s="372"/>
      <c r="U74" s="372"/>
      <c r="V74" s="377"/>
    </row>
    <row r="75" spans="1:22" ht="10.5" customHeight="1">
      <c r="A75" s="1"/>
      <c r="B75" s="1"/>
      <c r="C75" s="1"/>
      <c r="D75" s="1"/>
      <c r="E75" s="1"/>
      <c r="F75" s="1"/>
      <c r="G75" s="1"/>
      <c r="H75" s="1"/>
      <c r="I75" s="1"/>
      <c r="J75" s="378" t="s">
        <v>37</v>
      </c>
      <c r="K75" s="378"/>
      <c r="L75" s="23">
        <v>4</v>
      </c>
      <c r="M75" s="1"/>
      <c r="N75" s="1"/>
      <c r="O75" s="1"/>
      <c r="P75" s="1"/>
      <c r="Q75" s="1"/>
      <c r="R75" s="1"/>
      <c r="S75" s="1"/>
      <c r="T75" s="1"/>
      <c r="U75" s="1"/>
      <c r="V75" s="1"/>
    </row>
    <row r="76" spans="1:22" ht="10.5" customHeight="1">
      <c r="A76" s="24"/>
      <c r="B76" s="24"/>
      <c r="C76" s="24"/>
      <c r="D76" s="24"/>
      <c r="E76" s="24"/>
      <c r="F76" s="24"/>
      <c r="G76" s="24"/>
      <c r="H76" s="24"/>
      <c r="I76" s="24"/>
      <c r="J76" s="24"/>
      <c r="K76" s="24"/>
      <c r="L76" s="24"/>
      <c r="M76" s="24"/>
      <c r="N76" s="24"/>
      <c r="O76" s="24"/>
      <c r="P76" s="24"/>
      <c r="Q76" s="24"/>
      <c r="R76" s="24"/>
      <c r="S76" s="24"/>
      <c r="T76" s="24"/>
      <c r="U76" s="24"/>
      <c r="V76" s="24"/>
    </row>
  </sheetData>
  <sheetProtection selectLockedCells="1"/>
  <mergeCells count="258">
    <mergeCell ref="S71:V72"/>
    <mergeCell ref="S64:V64"/>
    <mergeCell ref="S26:T26"/>
    <mergeCell ref="I26:J26"/>
    <mergeCell ref="G26:H26"/>
    <mergeCell ref="K26:L26"/>
    <mergeCell ref="M26:N26"/>
    <mergeCell ref="O26:P26"/>
    <mergeCell ref="Q26:R26"/>
    <mergeCell ref="Q27:R27"/>
    <mergeCell ref="S27:T27"/>
    <mergeCell ref="U27:V27"/>
    <mergeCell ref="O24:P24"/>
    <mergeCell ref="O25:P25"/>
    <mergeCell ref="G27:H27"/>
    <mergeCell ref="I27:J27"/>
    <mergeCell ref="K27:L27"/>
    <mergeCell ref="M27:N27"/>
    <mergeCell ref="O27:P27"/>
    <mergeCell ref="Q24:R24"/>
    <mergeCell ref="A60:F60"/>
    <mergeCell ref="I60:J60"/>
    <mergeCell ref="I61:J61"/>
    <mergeCell ref="I62:J62"/>
    <mergeCell ref="I19:J19"/>
    <mergeCell ref="I21:J21"/>
    <mergeCell ref="I23:J23"/>
    <mergeCell ref="I24:J24"/>
    <mergeCell ref="I25:J25"/>
    <mergeCell ref="I28:J28"/>
    <mergeCell ref="J73:R74"/>
    <mergeCell ref="S73:V74"/>
    <mergeCell ref="J75:K75"/>
    <mergeCell ref="G63:H63"/>
    <mergeCell ref="J65:R66"/>
    <mergeCell ref="S65:V66"/>
    <mergeCell ref="J67:P68"/>
    <mergeCell ref="Q67:V68"/>
    <mergeCell ref="J69:P70"/>
    <mergeCell ref="Q69:V70"/>
    <mergeCell ref="U62:V62"/>
    <mergeCell ref="G62:H62"/>
    <mergeCell ref="K62:L62"/>
    <mergeCell ref="M62:N62"/>
    <mergeCell ref="G61:H61"/>
    <mergeCell ref="K61:L61"/>
    <mergeCell ref="M61:N61"/>
    <mergeCell ref="U61:V61"/>
    <mergeCell ref="G60:H60"/>
    <mergeCell ref="K60:L60"/>
    <mergeCell ref="M60:N60"/>
    <mergeCell ref="G59:H59"/>
    <mergeCell ref="K59:L59"/>
    <mergeCell ref="I59:J59"/>
    <mergeCell ref="U59:V59"/>
    <mergeCell ref="U60:V60"/>
    <mergeCell ref="G55:H55"/>
    <mergeCell ref="K55:L55"/>
    <mergeCell ref="U56:V56"/>
    <mergeCell ref="G57:H57"/>
    <mergeCell ref="K57:L57"/>
    <mergeCell ref="U58:V58"/>
    <mergeCell ref="I58:J58"/>
    <mergeCell ref="U57:V57"/>
    <mergeCell ref="G56:H56"/>
    <mergeCell ref="K56:L56"/>
    <mergeCell ref="I56:J56"/>
    <mergeCell ref="I57:J57"/>
    <mergeCell ref="G58:H58"/>
    <mergeCell ref="K58:L58"/>
    <mergeCell ref="U54:V54"/>
    <mergeCell ref="G54:H54"/>
    <mergeCell ref="U55:V55"/>
    <mergeCell ref="K54:L54"/>
    <mergeCell ref="I54:J54"/>
    <mergeCell ref="I55:J55"/>
    <mergeCell ref="U53:V53"/>
    <mergeCell ref="G52:H52"/>
    <mergeCell ref="K52:L52"/>
    <mergeCell ref="U52:V52"/>
    <mergeCell ref="G53:H53"/>
    <mergeCell ref="G51:H51"/>
    <mergeCell ref="K53:L53"/>
    <mergeCell ref="K51:L51"/>
    <mergeCell ref="I51:J51"/>
    <mergeCell ref="U51:V51"/>
    <mergeCell ref="K47:L47"/>
    <mergeCell ref="U48:V48"/>
    <mergeCell ref="G49:H49"/>
    <mergeCell ref="K49:L49"/>
    <mergeCell ref="U50:V50"/>
    <mergeCell ref="I50:J50"/>
    <mergeCell ref="U49:V49"/>
    <mergeCell ref="G48:H48"/>
    <mergeCell ref="K48:L48"/>
    <mergeCell ref="I48:J48"/>
    <mergeCell ref="I49:J49"/>
    <mergeCell ref="G50:H50"/>
    <mergeCell ref="U47:V47"/>
    <mergeCell ref="K46:L46"/>
    <mergeCell ref="K50:L50"/>
    <mergeCell ref="U46:V46"/>
    <mergeCell ref="G46:H46"/>
    <mergeCell ref="I47:J47"/>
    <mergeCell ref="G47:H47"/>
    <mergeCell ref="I46:J46"/>
    <mergeCell ref="U43:V43"/>
    <mergeCell ref="G42:H42"/>
    <mergeCell ref="K42:L42"/>
    <mergeCell ref="U45:V45"/>
    <mergeCell ref="G44:H44"/>
    <mergeCell ref="K44:L44"/>
    <mergeCell ref="U44:V44"/>
    <mergeCell ref="U42:V42"/>
    <mergeCell ref="G45:H45"/>
    <mergeCell ref="K45:L45"/>
    <mergeCell ref="I42:J42"/>
    <mergeCell ref="G43:H43"/>
    <mergeCell ref="K43:L43"/>
    <mergeCell ref="I43:J43"/>
    <mergeCell ref="I44:J44"/>
    <mergeCell ref="I45:J45"/>
    <mergeCell ref="G39:H39"/>
    <mergeCell ref="K39:L39"/>
    <mergeCell ref="G41:H41"/>
    <mergeCell ref="K41:L41"/>
    <mergeCell ref="U41:V41"/>
    <mergeCell ref="G40:H40"/>
    <mergeCell ref="I40:J40"/>
    <mergeCell ref="I41:J41"/>
    <mergeCell ref="K40:L40"/>
    <mergeCell ref="U40:V40"/>
    <mergeCell ref="G35:H35"/>
    <mergeCell ref="K35:L35"/>
    <mergeCell ref="U39:V39"/>
    <mergeCell ref="U36:V36"/>
    <mergeCell ref="G37:H37"/>
    <mergeCell ref="K37:L37"/>
    <mergeCell ref="G36:H36"/>
    <mergeCell ref="K36:L36"/>
    <mergeCell ref="G38:H38"/>
    <mergeCell ref="I37:J37"/>
    <mergeCell ref="I38:J38"/>
    <mergeCell ref="K38:L38"/>
    <mergeCell ref="I36:J36"/>
    <mergeCell ref="U35:V35"/>
    <mergeCell ref="I35:J35"/>
    <mergeCell ref="U38:V38"/>
    <mergeCell ref="U37:V37"/>
    <mergeCell ref="G33:H33"/>
    <mergeCell ref="K33:L33"/>
    <mergeCell ref="U34:V34"/>
    <mergeCell ref="G34:H34"/>
    <mergeCell ref="U33:V33"/>
    <mergeCell ref="I34:J34"/>
    <mergeCell ref="K34:L34"/>
    <mergeCell ref="I33:J33"/>
    <mergeCell ref="G32:H32"/>
    <mergeCell ref="K32:L32"/>
    <mergeCell ref="K31:L31"/>
    <mergeCell ref="U31:V31"/>
    <mergeCell ref="G30:H30"/>
    <mergeCell ref="K30:L30"/>
    <mergeCell ref="U32:V32"/>
    <mergeCell ref="I32:J32"/>
    <mergeCell ref="U28:V28"/>
    <mergeCell ref="U29:V29"/>
    <mergeCell ref="U30:V30"/>
    <mergeCell ref="K28:L28"/>
    <mergeCell ref="K29:L29"/>
    <mergeCell ref="G28:H28"/>
    <mergeCell ref="S24:T24"/>
    <mergeCell ref="U24:V24"/>
    <mergeCell ref="G25:H25"/>
    <mergeCell ref="K25:L25"/>
    <mergeCell ref="M25:N25"/>
    <mergeCell ref="Q25:R25"/>
    <mergeCell ref="S25:T25"/>
    <mergeCell ref="U25:V25"/>
    <mergeCell ref="G24:H24"/>
    <mergeCell ref="U22:V22"/>
    <mergeCell ref="M23:N23"/>
    <mergeCell ref="O23:P23"/>
    <mergeCell ref="Q23:R23"/>
    <mergeCell ref="S23:T23"/>
    <mergeCell ref="U23:V23"/>
    <mergeCell ref="U20:V20"/>
    <mergeCell ref="Q21:R21"/>
    <mergeCell ref="S21:T21"/>
    <mergeCell ref="U21:V21"/>
    <mergeCell ref="G22:H22"/>
    <mergeCell ref="K22:L22"/>
    <mergeCell ref="M22:N22"/>
    <mergeCell ref="O22:P22"/>
    <mergeCell ref="Q22:R22"/>
    <mergeCell ref="S22:T22"/>
    <mergeCell ref="K23:L23"/>
    <mergeCell ref="S20:T20"/>
    <mergeCell ref="O21:P21"/>
    <mergeCell ref="G20:H20"/>
    <mergeCell ref="M21:N21"/>
    <mergeCell ref="O20:P20"/>
    <mergeCell ref="K20:L20"/>
    <mergeCell ref="M20:N20"/>
    <mergeCell ref="M18:N18"/>
    <mergeCell ref="O18:P18"/>
    <mergeCell ref="Q18:R18"/>
    <mergeCell ref="S18:T18"/>
    <mergeCell ref="U18:V18"/>
    <mergeCell ref="I39:J39"/>
    <mergeCell ref="Q20:R20"/>
    <mergeCell ref="U19:V19"/>
    <mergeCell ref="S19:T19"/>
    <mergeCell ref="Q19:R19"/>
    <mergeCell ref="G17:H17"/>
    <mergeCell ref="I17:J17"/>
    <mergeCell ref="M17:N17"/>
    <mergeCell ref="Q17:R17"/>
    <mergeCell ref="U17:V17"/>
    <mergeCell ref="K17:L17"/>
    <mergeCell ref="O17:P17"/>
    <mergeCell ref="S17:T17"/>
    <mergeCell ref="N11:P11"/>
    <mergeCell ref="Q11:V11"/>
    <mergeCell ref="A14:I14"/>
    <mergeCell ref="K14:N14"/>
    <mergeCell ref="P14:Q14"/>
    <mergeCell ref="R14:S14"/>
    <mergeCell ref="I18:J18"/>
    <mergeCell ref="D5:L5"/>
    <mergeCell ref="D6:L6"/>
    <mergeCell ref="D7:L7"/>
    <mergeCell ref="D8:L8"/>
    <mergeCell ref="D9:L9"/>
    <mergeCell ref="D10:L10"/>
    <mergeCell ref="D11:L11"/>
    <mergeCell ref="G18:H18"/>
    <mergeCell ref="K18:L18"/>
    <mergeCell ref="G19:H19"/>
    <mergeCell ref="M24:N24"/>
    <mergeCell ref="I20:J20"/>
    <mergeCell ref="E28:F28"/>
    <mergeCell ref="K24:L24"/>
    <mergeCell ref="O19:P19"/>
    <mergeCell ref="M19:N19"/>
    <mergeCell ref="K19:L19"/>
    <mergeCell ref="K21:L21"/>
    <mergeCell ref="G23:H23"/>
    <mergeCell ref="I52:J52"/>
    <mergeCell ref="I53:J53"/>
    <mergeCell ref="A19:F19"/>
    <mergeCell ref="A21:F21"/>
    <mergeCell ref="I29:J29"/>
    <mergeCell ref="I30:J30"/>
    <mergeCell ref="G21:H21"/>
    <mergeCell ref="G29:H29"/>
    <mergeCell ref="G31:H31"/>
    <mergeCell ref="I31:J31"/>
  </mergeCells>
  <dataValidations count="5">
    <dataValidation type="decimal" operator="greaterThanOrEqual" allowBlank="1" showInputMessage="1" showErrorMessage="1" error="Enter an numeric value" sqref="R29:R59">
      <formula1>0</formula1>
    </dataValidation>
    <dataValidation type="decimal" operator="greaterThanOrEqual" allowBlank="1" showInputMessage="1" showErrorMessage="1" error="Enter an decimal value" sqref="T29:T59">
      <formula1>0</formula1>
    </dataValidation>
    <dataValidation type="decimal" operator="greaterThanOrEqual" allowBlank="1" showInputMessage="1" showErrorMessage="1" error="Please enter a decimal value" sqref="P29:P59">
      <formula1>0</formula1>
    </dataValidation>
    <dataValidation operator="greaterThanOrEqual" allowBlank="1" showInputMessage="1" showErrorMessage="1" sqref="Q29:Q59"/>
    <dataValidation operator="greaterThanOrEqual" allowBlank="1" showInputMessage="1" showErrorMessage="1" error="Enter an integer value" sqref="S29:S59"/>
  </dataValidations>
  <printOptions/>
  <pageMargins left="0.7" right="0.7" top="0.75" bottom="0.75" header="0.3" footer="0.3"/>
  <pageSetup fitToHeight="1" fitToWidth="1" horizontalDpi="600" verticalDpi="600" orientation="portrait" scale="81" r:id="rId3"/>
  <ignoredErrors>
    <ignoredError sqref="AA60" evalError="1"/>
  </ignoredError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A78"/>
  <sheetViews>
    <sheetView zoomScale="130" zoomScaleNormal="130" zoomScalePageLayoutView="0" workbookViewId="0" topLeftCell="A1">
      <selection activeCell="H2" sqref="H2"/>
    </sheetView>
  </sheetViews>
  <sheetFormatPr defaultColWidth="9.140625" defaultRowHeight="15"/>
  <cols>
    <col min="1" max="21" width="4.7109375" style="0" customWidth="1"/>
    <col min="22" max="22" width="6.00390625" style="0" customWidth="1"/>
  </cols>
  <sheetData>
    <row r="1" spans="1:22" ht="15">
      <c r="A1" s="199"/>
      <c r="B1" s="200"/>
      <c r="C1" s="200"/>
      <c r="D1" s="201"/>
      <c r="E1" s="200"/>
      <c r="F1" s="200"/>
      <c r="G1" s="200"/>
      <c r="H1" s="200"/>
      <c r="I1" s="200"/>
      <c r="J1" s="200"/>
      <c r="K1" s="200"/>
      <c r="L1" s="200"/>
      <c r="M1" s="200"/>
      <c r="N1" s="200"/>
      <c r="O1" s="200"/>
      <c r="P1" s="200"/>
      <c r="Q1" s="200"/>
      <c r="R1" s="200"/>
      <c r="S1" s="200"/>
      <c r="T1" s="200"/>
      <c r="U1" s="200"/>
      <c r="V1" s="200"/>
    </row>
    <row r="2" spans="1:22" ht="15">
      <c r="A2" s="199"/>
      <c r="B2" s="202"/>
      <c r="C2" s="202"/>
      <c r="D2" s="203" t="s">
        <v>41</v>
      </c>
      <c r="E2" s="202"/>
      <c r="F2" s="202"/>
      <c r="G2" s="202"/>
      <c r="H2" s="202"/>
      <c r="I2" s="202"/>
      <c r="J2" s="202"/>
      <c r="K2" s="202"/>
      <c r="L2" s="202"/>
      <c r="M2" s="202"/>
      <c r="N2" s="202"/>
      <c r="O2" s="202"/>
      <c r="P2" s="202"/>
      <c r="Q2" s="202"/>
      <c r="R2" s="202"/>
      <c r="S2" s="202"/>
      <c r="T2" s="202"/>
      <c r="U2" s="202"/>
      <c r="V2" s="202"/>
    </row>
    <row r="3" spans="1:22" ht="15">
      <c r="A3" s="199"/>
      <c r="B3" s="204"/>
      <c r="C3" s="204"/>
      <c r="D3" s="205" t="s">
        <v>176</v>
      </c>
      <c r="E3" s="204"/>
      <c r="F3" s="204"/>
      <c r="G3" s="204"/>
      <c r="H3" s="204"/>
      <c r="I3" s="204"/>
      <c r="J3" s="204"/>
      <c r="K3" s="204"/>
      <c r="L3" s="204"/>
      <c r="M3" s="204"/>
      <c r="N3" s="204"/>
      <c r="O3" s="204"/>
      <c r="P3" s="204"/>
      <c r="Q3" s="204"/>
      <c r="R3" s="204"/>
      <c r="S3" s="204"/>
      <c r="T3" s="204"/>
      <c r="U3" s="204"/>
      <c r="V3" s="204"/>
    </row>
    <row r="4" spans="1:24" ht="10.5" customHeight="1">
      <c r="A4" s="206" t="s">
        <v>0</v>
      </c>
      <c r="B4" s="206"/>
      <c r="C4" s="206"/>
      <c r="D4" s="207" t="s">
        <v>1</v>
      </c>
      <c r="E4" s="208"/>
      <c r="F4" s="208"/>
      <c r="G4" s="208"/>
      <c r="H4" s="208"/>
      <c r="I4" s="208"/>
      <c r="J4" s="208"/>
      <c r="K4" s="208"/>
      <c r="L4" s="209"/>
      <c r="M4" s="206"/>
      <c r="N4" s="265" t="s">
        <v>166</v>
      </c>
      <c r="O4" s="264"/>
      <c r="P4" s="264"/>
      <c r="Q4" s="264"/>
      <c r="R4" s="264"/>
      <c r="S4" s="264"/>
      <c r="T4" s="264"/>
      <c r="U4" s="264"/>
      <c r="V4" s="264"/>
      <c r="X4" s="25"/>
    </row>
    <row r="5" spans="1:24" ht="10.5" customHeight="1">
      <c r="A5" s="206"/>
      <c r="B5" s="11"/>
      <c r="C5" s="11"/>
      <c r="D5" s="470">
        <f>IF('MMR-Page1'!D5="","",'MMR-Page1'!D5)</f>
      </c>
      <c r="E5" s="471"/>
      <c r="F5" s="471"/>
      <c r="G5" s="471"/>
      <c r="H5" s="471"/>
      <c r="I5" s="471"/>
      <c r="J5" s="471"/>
      <c r="K5" s="471"/>
      <c r="L5" s="472"/>
      <c r="M5" s="206"/>
      <c r="N5" s="265" t="s">
        <v>168</v>
      </c>
      <c r="O5" s="264"/>
      <c r="P5" s="264"/>
      <c r="Q5" s="264"/>
      <c r="R5" s="264"/>
      <c r="S5" s="264"/>
      <c r="T5" s="264"/>
      <c r="U5" s="264"/>
      <c r="V5" s="264"/>
      <c r="X5" s="26"/>
    </row>
    <row r="6" spans="1:22" ht="10.5" customHeight="1">
      <c r="A6" s="206"/>
      <c r="B6" s="11"/>
      <c r="C6" s="11"/>
      <c r="D6" s="473">
        <f>IF('MMR-Page1'!D6="","",'MMR-Page1'!D6)</f>
      </c>
      <c r="E6" s="474"/>
      <c r="F6" s="474"/>
      <c r="G6" s="474"/>
      <c r="H6" s="474"/>
      <c r="I6" s="474"/>
      <c r="J6" s="474"/>
      <c r="K6" s="474"/>
      <c r="L6" s="475"/>
      <c r="M6" s="206"/>
      <c r="N6" s="265" t="s">
        <v>169</v>
      </c>
      <c r="O6" s="264"/>
      <c r="P6" s="264"/>
      <c r="Q6" s="264"/>
      <c r="R6" s="264"/>
      <c r="S6" s="264"/>
      <c r="T6" s="264"/>
      <c r="U6" s="264"/>
      <c r="V6" s="264"/>
    </row>
    <row r="7" spans="1:22" ht="10.5" customHeight="1">
      <c r="A7" s="206"/>
      <c r="B7" s="11"/>
      <c r="C7" s="11"/>
      <c r="D7" s="473">
        <f>IF('MMR-Page1'!D7="","",'MMR-Page1'!D7)</f>
      </c>
      <c r="E7" s="474"/>
      <c r="F7" s="474"/>
      <c r="G7" s="474"/>
      <c r="H7" s="474"/>
      <c r="I7" s="474"/>
      <c r="J7" s="474"/>
      <c r="K7" s="474"/>
      <c r="L7" s="475"/>
      <c r="M7" s="206"/>
      <c r="N7" s="265" t="s">
        <v>170</v>
      </c>
      <c r="O7" s="264"/>
      <c r="P7" s="264"/>
      <c r="Q7" s="264"/>
      <c r="R7" s="264"/>
      <c r="S7" s="264"/>
      <c r="T7" s="264"/>
      <c r="U7" s="264"/>
      <c r="V7" s="264"/>
    </row>
    <row r="8" spans="1:22" ht="10.5" customHeight="1">
      <c r="A8" s="206"/>
      <c r="B8" s="11"/>
      <c r="C8" s="11"/>
      <c r="D8" s="473">
        <f>IF('MMR-Page1'!D8="","",'MMR-Page1'!D8)</f>
      </c>
      <c r="E8" s="474"/>
      <c r="F8" s="474"/>
      <c r="G8" s="474"/>
      <c r="H8" s="474"/>
      <c r="I8" s="474"/>
      <c r="J8" s="474"/>
      <c r="K8" s="474"/>
      <c r="L8" s="475"/>
      <c r="M8" s="206"/>
      <c r="N8" s="265" t="s">
        <v>167</v>
      </c>
      <c r="O8" s="264"/>
      <c r="P8" s="264"/>
      <c r="Q8" s="264"/>
      <c r="R8" s="264"/>
      <c r="S8" s="264"/>
      <c r="T8" s="264"/>
      <c r="U8" s="264"/>
      <c r="V8" s="264"/>
    </row>
    <row r="9" spans="1:22" ht="10.5" customHeight="1">
      <c r="A9" s="206"/>
      <c r="B9" s="11"/>
      <c r="C9" s="11"/>
      <c r="D9" s="473">
        <f>IF('MMR-Page1'!D9="","",'MMR-Page1'!D9)</f>
      </c>
      <c r="E9" s="474"/>
      <c r="F9" s="474"/>
      <c r="G9" s="474"/>
      <c r="H9" s="474"/>
      <c r="I9" s="474"/>
      <c r="J9" s="474"/>
      <c r="K9" s="474"/>
      <c r="L9" s="475"/>
      <c r="M9" s="206"/>
      <c r="N9" s="265" t="s">
        <v>172</v>
      </c>
      <c r="O9" s="264"/>
      <c r="P9" s="264"/>
      <c r="Q9" s="264"/>
      <c r="R9" s="264"/>
      <c r="S9" s="264"/>
      <c r="T9" s="264"/>
      <c r="U9" s="264"/>
      <c r="V9" s="264"/>
    </row>
    <row r="10" spans="1:22" ht="10.5" customHeight="1">
      <c r="A10" s="206"/>
      <c r="B10" s="11"/>
      <c r="C10" s="11"/>
      <c r="D10" s="473">
        <f>IF('MMR-Page1'!D10="","",'MMR-Page1'!D10)</f>
      </c>
      <c r="E10" s="474"/>
      <c r="F10" s="474"/>
      <c r="G10" s="474"/>
      <c r="H10" s="474"/>
      <c r="I10" s="474"/>
      <c r="J10" s="474"/>
      <c r="K10" s="474"/>
      <c r="L10" s="475"/>
      <c r="M10" s="206"/>
      <c r="N10" s="206"/>
      <c r="O10" s="206"/>
      <c r="P10" s="206"/>
      <c r="Q10" s="206"/>
      <c r="R10" s="206"/>
      <c r="S10" s="206"/>
      <c r="T10" s="206"/>
      <c r="U10" s="206"/>
      <c r="V10" s="206"/>
    </row>
    <row r="11" spans="1:22" ht="10.5" customHeight="1">
      <c r="A11" s="206"/>
      <c r="B11" s="11"/>
      <c r="C11" s="11"/>
      <c r="D11" s="476">
        <f>IF('MMR-Page1'!D11="","",'MMR-Page1'!D11)</f>
      </c>
      <c r="E11" s="477"/>
      <c r="F11" s="477"/>
      <c r="G11" s="477"/>
      <c r="H11" s="477"/>
      <c r="I11" s="477"/>
      <c r="J11" s="477"/>
      <c r="K11" s="477"/>
      <c r="L11" s="478"/>
      <c r="M11" s="206"/>
      <c r="N11" s="479" t="s">
        <v>2</v>
      </c>
      <c r="O11" s="461"/>
      <c r="P11" s="461"/>
      <c r="Q11" s="461">
        <f>IF('MMR-Page1'!Q11="","",'MMR-Page1'!Q11)</f>
      </c>
      <c r="R11" s="462"/>
      <c r="S11" s="462"/>
      <c r="T11" s="462"/>
      <c r="U11" s="462"/>
      <c r="V11" s="463"/>
    </row>
    <row r="12" spans="1:22" ht="10.5" customHeight="1">
      <c r="A12" s="206"/>
      <c r="B12" s="206"/>
      <c r="C12" s="206"/>
      <c r="D12" s="206"/>
      <c r="E12" s="206"/>
      <c r="F12" s="206"/>
      <c r="G12" s="206"/>
      <c r="H12" s="206"/>
      <c r="I12" s="206"/>
      <c r="J12" s="206"/>
      <c r="K12" s="206"/>
      <c r="L12" s="206"/>
      <c r="M12" s="206"/>
      <c r="N12" s="11"/>
      <c r="O12" s="11"/>
      <c r="P12" s="11"/>
      <c r="Q12" s="12"/>
      <c r="R12" s="12"/>
      <c r="S12" s="12"/>
      <c r="T12" s="12"/>
      <c r="U12" s="12"/>
      <c r="V12" s="12"/>
    </row>
    <row r="13" spans="1:24" s="33" customFormat="1" ht="10.5" customHeight="1">
      <c r="A13" s="211" t="s">
        <v>3</v>
      </c>
      <c r="B13" s="211" t="s">
        <v>4</v>
      </c>
      <c r="C13" s="211">
        <f>'MMR-Page1'!C13</f>
        <v>0</v>
      </c>
      <c r="D13" s="212">
        <f>'MMR-Page1'!D13</f>
        <v>0</v>
      </c>
      <c r="E13" s="212" t="str">
        <f>'MMR-Page1'!E13</f>
        <v>   </v>
      </c>
      <c r="F13" s="212">
        <f>'MMR-Page1'!F13</f>
        <v>0</v>
      </c>
      <c r="G13" s="212">
        <f>'MMR-Page1'!G13</f>
        <v>0</v>
      </c>
      <c r="H13" s="212">
        <f>'MMR-Page1'!H13</f>
        <v>0</v>
      </c>
      <c r="I13" s="212">
        <f>'MMR-Page1'!I13</f>
        <v>0</v>
      </c>
      <c r="J13" s="213"/>
      <c r="K13" s="211">
        <f>'MMR-Page1'!$K$13</f>
        <v>0</v>
      </c>
      <c r="L13" s="212">
        <f>'MMR-Page1'!L13</f>
        <v>0</v>
      </c>
      <c r="M13" s="212">
        <f>'MMR-Page1'!M13</f>
        <v>0</v>
      </c>
      <c r="N13" s="212" t="s">
        <v>74</v>
      </c>
      <c r="O13" s="213"/>
      <c r="P13" s="214">
        <f>'MMR-Page1'!$P$13</f>
        <v>0</v>
      </c>
      <c r="Q13" s="214">
        <f>'MMR-Page1'!$Q$13</f>
        <v>5</v>
      </c>
      <c r="R13" s="214">
        <f>'MMR-Page1'!$R$13</f>
        <v>1</v>
      </c>
      <c r="S13" s="214">
        <f>'MMR-Page1'!$S$13</f>
        <v>6</v>
      </c>
      <c r="T13" s="206"/>
      <c r="U13" s="206"/>
      <c r="V13" s="206"/>
      <c r="X13" s="34"/>
    </row>
    <row r="14" spans="1:22" ht="10.5" customHeight="1" thickBot="1">
      <c r="A14" s="464" t="s">
        <v>5</v>
      </c>
      <c r="B14" s="465"/>
      <c r="C14" s="465"/>
      <c r="D14" s="465"/>
      <c r="E14" s="465"/>
      <c r="F14" s="465"/>
      <c r="G14" s="465"/>
      <c r="H14" s="465"/>
      <c r="I14" s="466"/>
      <c r="J14" s="215"/>
      <c r="K14" s="464" t="s">
        <v>160</v>
      </c>
      <c r="L14" s="465"/>
      <c r="M14" s="465"/>
      <c r="N14" s="466"/>
      <c r="O14" s="215"/>
      <c r="P14" s="464" t="s">
        <v>161</v>
      </c>
      <c r="Q14" s="466"/>
      <c r="R14" s="464" t="s">
        <v>162</v>
      </c>
      <c r="S14" s="466"/>
      <c r="T14" s="215"/>
      <c r="U14" s="215"/>
      <c r="V14" s="215"/>
    </row>
    <row r="15" spans="1:22" ht="10.5" customHeight="1" thickBot="1">
      <c r="A15" s="206"/>
      <c r="B15" s="206"/>
      <c r="C15" s="206"/>
      <c r="D15" s="206"/>
      <c r="E15" s="206"/>
      <c r="F15" s="206"/>
      <c r="G15" s="206"/>
      <c r="H15" s="206"/>
      <c r="I15" s="206"/>
      <c r="J15" s="206"/>
      <c r="K15" s="206"/>
      <c r="L15" s="206"/>
      <c r="M15" s="206"/>
      <c r="N15" s="206"/>
      <c r="O15" s="206"/>
      <c r="P15" s="199"/>
      <c r="Q15" s="216"/>
      <c r="R15" s="217"/>
      <c r="S15" s="467" t="s">
        <v>6</v>
      </c>
      <c r="T15" s="468"/>
      <c r="U15" s="469"/>
      <c r="V15" s="126" t="str">
        <f>IF('MMR-Page1'!V15=TRUE,"Yes","No")</f>
        <v>No</v>
      </c>
    </row>
    <row r="16" spans="1:24" ht="10.5" customHeight="1" thickBot="1">
      <c r="A16" s="206"/>
      <c r="B16" s="206"/>
      <c r="C16" s="206"/>
      <c r="D16" s="206"/>
      <c r="E16" s="206"/>
      <c r="F16" s="206"/>
      <c r="G16" s="206"/>
      <c r="H16" s="206"/>
      <c r="I16" s="206"/>
      <c r="J16" s="206"/>
      <c r="K16" s="206"/>
      <c r="L16" s="206"/>
      <c r="M16" s="206"/>
      <c r="N16" s="206"/>
      <c r="O16" s="206"/>
      <c r="P16" s="199"/>
      <c r="Q16" s="216"/>
      <c r="R16" s="218" t="s">
        <v>7</v>
      </c>
      <c r="S16" s="218"/>
      <c r="T16" s="218"/>
      <c r="U16" s="219"/>
      <c r="V16" s="126" t="str">
        <f>IF('MMR-Page1'!V16=TRUE,"Yes","No")</f>
        <v>No</v>
      </c>
      <c r="X16" s="25"/>
    </row>
    <row r="17" spans="1:24" s="33" customFormat="1" ht="21" customHeight="1">
      <c r="A17" s="178" t="s">
        <v>88</v>
      </c>
      <c r="B17" s="179"/>
      <c r="C17" s="179"/>
      <c r="D17" s="179"/>
      <c r="E17" s="179"/>
      <c r="F17" s="180" t="s">
        <v>0</v>
      </c>
      <c r="G17" s="320" t="s">
        <v>8</v>
      </c>
      <c r="H17" s="321"/>
      <c r="I17" s="459"/>
      <c r="J17" s="460"/>
      <c r="K17" s="459"/>
      <c r="L17" s="460"/>
      <c r="M17" s="459"/>
      <c r="N17" s="460"/>
      <c r="O17" s="459"/>
      <c r="P17" s="460"/>
      <c r="Q17" s="459"/>
      <c r="R17" s="460"/>
      <c r="S17" s="459"/>
      <c r="T17" s="460"/>
      <c r="U17" s="459"/>
      <c r="V17" s="460"/>
      <c r="X17" s="35"/>
    </row>
    <row r="18" spans="1:22" s="33" customFormat="1" ht="10.5" customHeight="1">
      <c r="A18" s="178" t="s">
        <v>82</v>
      </c>
      <c r="B18" s="179"/>
      <c r="C18" s="179"/>
      <c r="D18" s="179"/>
      <c r="E18" s="179"/>
      <c r="F18" s="180"/>
      <c r="G18" s="338" t="s">
        <v>83</v>
      </c>
      <c r="H18" s="339"/>
      <c r="I18" s="353">
        <f>IF('MMR-Page2'!$I$17="Number of Events","Load/Conc",IF('MMR-Page2'!$I$17="Oxygen, dissolved [DO]","Conc",IF('MMR-Page2'!$I$17="Nitrogen, ammonia total [as N]","Conc",IF('MMR-Page2'!$I$17="Phosphorus, total [as P]","Conc",""))))</f>
      </c>
      <c r="J18" s="354"/>
      <c r="K18" s="353">
        <f>IF('MMR-Page2'!$K$17="Number of Events","Load/Conc",IF('MMR-Page2'!$K$17="Oxygen, dissolved [DO]","Conc",IF('MMR-Page2'!$K$17="Nitrogen, ammonia total [as N]","Conc",IF('MMR-Page2'!$K$17="Phosphorus, total [as P]","Conc",""))))</f>
      </c>
      <c r="L18" s="354"/>
      <c r="M18" s="353">
        <f>IF('MMR-Page2'!$M$17="Number of Events","Load/Conc",IF('MMR-Page2'!$M$17="Oxygen, dissolved [DO]","Conc",IF('MMR-Page2'!$M$17="Nitrogen, ammonia total [as N]","Conc",IF('MMR-Page2'!$M$17="Phosphorus, total [as P]","Conc",""))))</f>
      </c>
      <c r="N18" s="354"/>
      <c r="O18" s="353">
        <f>IF('MMR-Page2'!$O$17="Number of Events","Load/Conc",IF('MMR-Page2'!$O$17="Oxygen, dissolved [DO]","Conc",IF('MMR-Page2'!$O$17="Nitrogen, ammonia total [as N]","Conc",IF('MMR-Page2'!$O$17="Phosphorus, total [as P]","Conc",""))))</f>
      </c>
      <c r="P18" s="354"/>
      <c r="Q18" s="353">
        <f>IF('MMR-Page2'!$Q$17="Number of Events","Load/Conc",IF('MMR-Page2'!$Q$17="Oxygen, dissolved [DO]","Conc",IF('MMR-Page2'!$Q$17="Nitrogen, ammonia total [as N]","Conc",IF('MMR-Page2'!$Q$17="Phosphorus, total [as P]","Conc",""))))</f>
      </c>
      <c r="R18" s="354"/>
      <c r="S18" s="353">
        <f>IF('MMR-Page2'!$S$17="Number of Events","Load/Conc",IF('MMR-Page2'!$S$17="Oxygen, dissolved [DO]","Conc",IF('MMR-Page2'!$S$17="Nitrogen, ammonia total [as N]","Conc",IF('MMR-Page2'!$S$17="Phosphorus, total [as P]","Conc",""))))</f>
      </c>
      <c r="T18" s="354"/>
      <c r="U18" s="353">
        <f>IF('MMR-Page2'!$U$17="Number of Events","Load/Conc",IF('MMR-Page2'!$U$17="Oxygen, dissolved [DO]","Conc",IF('MMR-Page2'!$U$17="Nitrogen, ammonia total [as N]","Conc",IF('MMR-Page2'!$U$17="Phosphorus, total [as P]","Conc",""))))</f>
      </c>
      <c r="V18" s="354"/>
    </row>
    <row r="19" spans="1:22" ht="16.5" customHeight="1">
      <c r="A19" s="185" t="s">
        <v>85</v>
      </c>
      <c r="B19" s="186"/>
      <c r="C19" s="186"/>
      <c r="D19" s="179"/>
      <c r="E19" s="179"/>
      <c r="F19" s="180"/>
      <c r="G19" s="320" t="s">
        <v>56</v>
      </c>
      <c r="H19" s="321"/>
      <c r="I19" s="353">
        <f>IF('MMR-Page2'!$I$17="Number of Events","Total",IF('MMR-Page2'!$I$17="Oxygen, dissolved [DO]","Grab",IF('MMR-Page2'!$I$17="Nitrogen, ammonia total [as N]","Composite",IF('MMR-Page2'!$I$17="Phosphorus, total [as P]","Composite",""))))</f>
      </c>
      <c r="J19" s="354"/>
      <c r="K19" s="353">
        <f>IF('MMR-Page2'!$K$17="Number of Events","Total",IF('MMR-Page2'!$K$17="Oxygen, dissolved [DO]","Grab",IF('MMR-Page2'!$K$17="Nitrogen, ammonia total [as N]","Composite",IF('MMR-Page2'!$K$17="Phosphorus, total [as P]","Composite",""))))</f>
      </c>
      <c r="L19" s="354"/>
      <c r="M19" s="353">
        <f>IF('MMR-Page2'!$M$17="Number of Events","Total",IF('MMR-Page2'!$M$17="Oxygen, dissolved [DO]","Grab",IF('MMR-Page2'!$M$17="Nitrogen, ammonia total [as N]","Composite",IF('MMR-Page2'!$M$17="Phosphorus, total [as P]","Composite",""))))</f>
      </c>
      <c r="N19" s="354"/>
      <c r="O19" s="353">
        <f>IF('MMR-Page2'!$O$17="Number of Events","Total",IF('MMR-Page2'!$O$17="Oxygen, dissolved [DO]","Grab",IF('MMR-Page2'!$O$17="Nitrogen, ammonia total [as N]","Composite",IF('MMR-Page2'!$O$17="Phosphorus, total [as P]","Composite",""))))</f>
      </c>
      <c r="P19" s="354"/>
      <c r="Q19" s="353">
        <f>IF('MMR-Page2'!$Q$17="Number of Events","Total",IF('MMR-Page2'!$Q$17="Oxygen, dissolved [DO]","Grab",IF('MMR-Page2'!$Q$17="Nitrogen, ammonia total [as N]","Composite",IF('MMR-Page2'!$Q$17="Phosphorus, total [as P]","Composite",""))))</f>
      </c>
      <c r="R19" s="354"/>
      <c r="S19" s="353">
        <f>IF('MMR-Page2'!$S$17="Number of Events","Total",IF('MMR-Page2'!$S$17="Oxygen, dissolved [DO]","Grab",IF('MMR-Page2'!$S$17="Nitrogen, ammonia total [as N]","Composite",IF('MMR-Page2'!$S$17="Phosphorus, total [as P]","Composite",""))))</f>
      </c>
      <c r="T19" s="354"/>
      <c r="U19" s="353">
        <f>IF('MMR-Page2'!$U$17="Number of Events","Total",IF('MMR-Page2'!$U$17="Oxygen, dissolved [DO]","Grab",IF('MMR-Page2'!$U$17="Nitrogen, ammonia total [as N]","Composite",IF('MMR-Page2'!$U$17="Phosphorus, total [as P]","Composite",""))))</f>
      </c>
      <c r="V19" s="354"/>
    </row>
    <row r="20" spans="1:22" s="123" customFormat="1" ht="10.5" customHeight="1">
      <c r="A20" s="187"/>
      <c r="B20" s="188"/>
      <c r="C20" s="188"/>
      <c r="D20" s="178" t="s">
        <v>92</v>
      </c>
      <c r="E20" s="179"/>
      <c r="F20" s="180"/>
      <c r="G20" s="320" t="s">
        <v>98</v>
      </c>
      <c r="H20" s="321"/>
      <c r="I20" s="326">
        <f>IF('MMR-Page2'!$I$17="Number of Events","51484",IF('MMR-Page2'!$I$17="Oxygen, dissolved [DO]","00300",IF('MMR-Page2'!$I$17="Nitrogen, ammonia total [as N]","00610",IF('MMR-Page2'!$I$17="Phosphorus, total [as P]","00665",""))))</f>
      </c>
      <c r="J20" s="327"/>
      <c r="K20" s="326">
        <f>IF('MMR-Page2'!$K$17="Number of Events","51484",IF('MMR-Page2'!$K$17="Oxygen, dissolved [DO]","00300",IF('MMR-Page2'!$K$17="Nitrogen, ammonia total [as N]","00610",IF('MMR-Page2'!$K$17="Phosphorus, total [as P]","00665",""))))</f>
      </c>
      <c r="L20" s="327"/>
      <c r="M20" s="326">
        <f>IF('MMR-Page2'!$M$17="Number of Events","51484",IF('MMR-Page2'!$M$17="Oxygen, dissolved [DO]","00300",IF('MMR-Page2'!$M$17="Nitrogen, ammonia total [as N]","00610",IF('MMR-Page2'!$M$17="Phosphorus, total [as P]","00665",""))))</f>
      </c>
      <c r="N20" s="327"/>
      <c r="O20" s="326">
        <f>IF('MMR-Page2'!$O$17="Number of Events","51484",IF('MMR-Page2'!$O$17="Oxygen, dissolved [DO]","00300",IF('MMR-Page2'!$O$17="Nitrogen, ammonia total [as N]","00610",IF('MMR-Page2'!$O$17="Phosphorus, total [as P]","00665",""))))</f>
      </c>
      <c r="P20" s="327"/>
      <c r="Q20" s="326">
        <f>IF('MMR-Page2'!$Q$17="Number of Events","51484",IF('MMR-Page2'!$Q$17="Oxygen, dissolved [DO]","00300",IF('MMR-Page2'!$Q$17="Nitrogen, ammonia total [as N]","00610",IF('MMR-Page2'!$Q$17="Phosphorus, total [as P]","00665",""))))</f>
      </c>
      <c r="R20" s="327"/>
      <c r="S20" s="326">
        <f>IF('MMR-Page2'!$S$17="Number of Events","51484",IF('MMR-Page2'!$S$17="Oxygen, dissolved [DO]","00300",IF('MMR-Page2'!$S$17="Nitrogen, ammonia total [as N]","00610",IF('MMR-Page2'!$S$17="Phosphorus, total [as P]","00665",""))))</f>
      </c>
      <c r="T20" s="327"/>
      <c r="U20" s="326">
        <f>IF('MMR-Page2'!$U$17="Number of Events","51484",IF('MMR-Page2'!$U$17="Oxygen, dissolved [DO]","00300",IF('MMR-Page2'!$U$17="Nitrogen, ammonia total [as N]","00610",IF('MMR-Page2'!$U$17="Phosphorus, total [as P]","00665",""))))</f>
      </c>
      <c r="V20" s="327"/>
    </row>
    <row r="21" spans="1:22" ht="10.5" customHeight="1">
      <c r="A21" s="185" t="s">
        <v>86</v>
      </c>
      <c r="B21" s="186"/>
      <c r="C21" s="186"/>
      <c r="D21" s="179"/>
      <c r="E21" s="179"/>
      <c r="F21" s="180"/>
      <c r="G21" s="320" t="s">
        <v>56</v>
      </c>
      <c r="H21" s="321"/>
      <c r="I21" s="353">
        <f>IF('MMR-Page2'!$I$17="Number of Events","Monthly",IF('MMR-Page2'!$I$17="Oxygen, dissolved [DO]","Daily",IF('MMR-Page2'!$I$17="Nitrogen, ammonia total [as N]","Daily",IF('MMR-Page2'!$I$17="Phosphorus, total [as P]","Daily",""))))</f>
      </c>
      <c r="J21" s="354"/>
      <c r="K21" s="353">
        <f>IF('MMR-Page2'!$K$17="Number of Events","Monthly",IF('MMR-Page2'!$K$17="Oxygen, dissolved [DO]","Daily",IF('MMR-Page2'!$K$17="Nitrogen, ammonia total [as N]","Daily",IF('MMR-Page2'!$K$17="Phosphorus, total [as P]","Daily",""))))</f>
      </c>
      <c r="L21" s="354"/>
      <c r="M21" s="353">
        <f>IF('MMR-Page2'!$M$17="Number of Events","Monthly",IF('MMR-Page2'!$M$17="Oxygen, dissolved [DO]","Daily",IF('MMR-Page2'!$M$17="Nitrogen, ammonia total [as N]","Daily",IF('MMR-Page2'!$M$17="Phosphorus, total [as P]","Daily",""))))</f>
      </c>
      <c r="N21" s="354"/>
      <c r="O21" s="353">
        <f>IF('MMR-Page2'!$O$17="Number of Events","Monthly",IF('MMR-Page2'!$O$17="Oxygen, dissolved [DO]","Daily",IF('MMR-Page2'!$O$17="Nitrogen, ammonia total [as N]","Daily",IF('MMR-Page2'!$O$17="Phosphorus, total [as P]","Daily",""))))</f>
      </c>
      <c r="P21" s="354"/>
      <c r="Q21" s="353">
        <f>IF('MMR-Page2'!$Q$17="Number of Events","Monthly",IF('MMR-Page2'!$Q$17="Oxygen, dissolved [DO]","Daily",IF('MMR-Page2'!$Q$17="Nitrogen, ammonia total [as N]","Daily",IF('MMR-Page2'!$Q$17="Phosphorus, total [as P]","Daily",""))))</f>
      </c>
      <c r="R21" s="354"/>
      <c r="S21" s="353">
        <f>IF('MMR-Page2'!$S$17="Number of Events","Monthly",IF('MMR-Page2'!$S$17="Oxygen, dissolved [DO]","Daily",IF('MMR-Page2'!$S$17="Nitrogen, ammonia total [as N]","Daily",IF('MMR-Page2'!$S$17="Phosphorus, total [as P]","Daily",""))))</f>
      </c>
      <c r="T21" s="354"/>
      <c r="U21" s="353">
        <f>IF('MMR-Page2'!$U$17="Number of Events","Monthly",IF('MMR-Page2'!$U$17="Oxygen, dissolved [DO]","Daily",IF('MMR-Page2'!$U$17="Nitrogen, ammonia total [as N]","Daily",IF('MMR-Page2'!$U$17="Phosphorus, total [as P]","Daily",""))))</f>
      </c>
      <c r="V21" s="354"/>
    </row>
    <row r="22" spans="1:22" ht="10.5" customHeight="1" hidden="1">
      <c r="A22" s="181"/>
      <c r="B22" s="182"/>
      <c r="C22" s="182"/>
      <c r="D22" s="178"/>
      <c r="E22" s="179"/>
      <c r="F22" s="180"/>
      <c r="G22" s="356"/>
      <c r="H22" s="357"/>
      <c r="I22" s="358"/>
      <c r="J22" s="359"/>
      <c r="K22" s="358"/>
      <c r="L22" s="359"/>
      <c r="M22" s="358"/>
      <c r="N22" s="359"/>
      <c r="O22" s="326"/>
      <c r="P22" s="327"/>
      <c r="Q22" s="326"/>
      <c r="R22" s="327"/>
      <c r="S22" s="326"/>
      <c r="T22" s="327"/>
      <c r="U22" s="326"/>
      <c r="V22" s="327"/>
    </row>
    <row r="23" spans="1:22" ht="10.5" customHeight="1">
      <c r="A23" s="185" t="s">
        <v>10</v>
      </c>
      <c r="B23" s="186"/>
      <c r="C23" s="186"/>
      <c r="D23" s="178" t="s">
        <v>68</v>
      </c>
      <c r="E23" s="179"/>
      <c r="F23" s="180"/>
      <c r="G23" s="324" t="s">
        <v>71</v>
      </c>
      <c r="H23" s="325"/>
      <c r="I23" s="353">
        <f>IF('MMR-Page2'!$I$17="Number of Events","-----",IF('MMR-Page2'!$I$17="Oxygen, dissolved [DO]","Report",IF('MMR-Page2'!$I$17="Nitrogen, ammonia total [as N]","-----",IF('MMR-Page2'!$I$17="Phosphorus, total [as P]","-----",""))))</f>
      </c>
      <c r="J23" s="354"/>
      <c r="K23" s="353">
        <f>IF('MMR-Page2'!$K$17="Number of Events","-----",IF('MMR-Page2'!$K$17="Oxygen, dissolved [DO]","Report",IF('MMR-Page2'!$K$17="Nitrogen, ammonia total [as N]","-----",IF('MMR-Page2'!$K$17="Phosphorus, total [as P]","-----",""))))</f>
      </c>
      <c r="L23" s="354"/>
      <c r="M23" s="353">
        <f>IF('MMR-Page2'!$M$17="Number of Events","-----",IF('MMR-Page2'!$M$17="Oxygen, dissolved [DO]","Report",IF('MMR-Page2'!$M$17="Nitrogen, ammonia total [as N]","-----",IF('MMR-Page2'!$M$17="Phosphorus, total [as P]","-----",""))))</f>
      </c>
      <c r="N23" s="354"/>
      <c r="O23" s="353">
        <f>IF('MMR-Page2'!$O$17="Number of Events","-----",IF('MMR-Page2'!$O$17="Oxygen, dissolved [DO]","Report",IF('MMR-Page2'!$O$17="Nitrogen, ammonia total [as N]","-----",IF('MMR-Page2'!$O$17="Phosphorus, total [as P]","-----",""))))</f>
      </c>
      <c r="P23" s="354"/>
      <c r="Q23" s="353">
        <f>IF('MMR-Page2'!$Q$17="Number of Events","-----",IF('MMR-Page2'!$Q$17="Oxygen, dissolved [DO]","Report",IF('MMR-Page2'!$Q$17="Nitrogen, ammonia total [as N]","-----",IF('MMR-Page2'!$Q$17="Phosphorus, total [as P]","-----",""))))</f>
      </c>
      <c r="R23" s="354"/>
      <c r="S23" s="353">
        <f>IF('MMR-Page2'!$S$17="Number of Events","-----",IF('MMR-Page2'!$S$17="Oxygen, dissolved [DO]","Report",IF('MMR-Page2'!$S$17="Nitrogen, ammonia total [as N]","-----",IF('MMR-Page2'!$S$17="Phosphorus, total [as P]","-----",""))))</f>
      </c>
      <c r="T23" s="354"/>
      <c r="U23" s="353">
        <f>IF('MMR-Page2'!$U$17="Number of Events","-----",IF('MMR-Page2'!$U$17="Oxygen, dissolved [DO]","Report",IF('MMR-Page2'!$U$17="Nitrogen, ammonia total [as N]","-----",IF('MMR-Page2'!$U$17="Phosphorus, total [as P]","-----",""))))</f>
      </c>
      <c r="V23" s="354"/>
    </row>
    <row r="24" spans="1:22" ht="10.5" customHeight="1">
      <c r="A24" s="187" t="s">
        <v>11</v>
      </c>
      <c r="B24" s="188"/>
      <c r="C24" s="188"/>
      <c r="D24" s="178" t="s">
        <v>69</v>
      </c>
      <c r="E24" s="179"/>
      <c r="F24" s="180"/>
      <c r="G24" s="330" t="s">
        <v>65</v>
      </c>
      <c r="H24" s="325"/>
      <c r="I24" s="353">
        <f>IF('MMR-Page2'!$I$17="Number of Events","-----",IF('MMR-Page2'!$I$17="Oxygen, dissolved [DO]","-----",IF('MMR-Page2'!$I$17="Nitrogen, ammonia total [as N]","Report",IF('MMR-Page2'!$I$17="Phosphorus, total [as P]","Report",""))))</f>
      </c>
      <c r="J24" s="354"/>
      <c r="K24" s="353">
        <f>IF('MMR-Page2'!$K$17="Number of Events","-----",IF('MMR-Page2'!$K$17="Oxygen, dissolved [DO]","-----",IF('MMR-Page2'!$K$17="Nitrogen, ammonia total [as N]","Report",IF('MMR-Page2'!$K$17="Phosphorus, total [as P]","Report",""))))</f>
      </c>
      <c r="L24" s="354"/>
      <c r="M24" s="353">
        <f>IF('MMR-Page2'!$M$17="Number of Events","-----",IF('MMR-Page2'!$M$17="Oxygen, dissolved [DO]","-----",IF('MMR-Page2'!$M$17="Nitrogen, ammonia total [as N]","Report",IF('MMR-Page2'!$M$17="Phosphorus, total [as P]","Report",""))))</f>
      </c>
      <c r="N24" s="354"/>
      <c r="O24" s="353">
        <f>IF('MMR-Page2'!$O$17="Number of Events","-----",IF('MMR-Page2'!$O$17="Oxygen, dissolved [DO]","-----",IF('MMR-Page2'!$O$17="Nitrogen, ammonia total [as N]","Report",IF('MMR-Page2'!$O$17="Phosphorus, total [as P]","Report",""))))</f>
      </c>
      <c r="P24" s="354"/>
      <c r="Q24" s="353">
        <f>IF('MMR-Page2'!$Q$17="Number of Events","-----",IF('MMR-Page2'!$Q$17="Oxygen, dissolved [DO]","-----",IF('MMR-Page2'!$Q$17="Nitrogen, ammonia total [as N]","Report",IF('MMR-Page2'!$Q$17="Phosphorus, total [as P]","Report",""))))</f>
      </c>
      <c r="R24" s="354"/>
      <c r="S24" s="353">
        <f>IF('MMR-Page2'!$S$17="Number of Events","-----",IF('MMR-Page2'!$S$17="Oxygen, dissolved [DO]","-----",IF('MMR-Page2'!$S$17="Nitrogen, ammonia total [as N]","Report",IF('MMR-Page2'!$S$17="Phosphorus, total [as P]","Report",""))))</f>
      </c>
      <c r="T24" s="354"/>
      <c r="U24" s="353">
        <f>IF('MMR-Page2'!$U$17="Number of Events","-----",IF('MMR-Page2'!$U$17="Oxygen, dissolved [DO]","-----",IF('MMR-Page2'!$U$17="Nitrogen, ammonia total [as N]","Report",IF('MMR-Page2'!$U$17="Phosphorus, total [as P]","Report",""))))</f>
      </c>
      <c r="V24" s="354"/>
    </row>
    <row r="25" spans="1:22" ht="10.5" customHeight="1">
      <c r="A25" s="67"/>
      <c r="B25" s="188"/>
      <c r="C25" s="188"/>
      <c r="D25" s="178" t="s">
        <v>70</v>
      </c>
      <c r="E25" s="182"/>
      <c r="F25" s="190"/>
      <c r="G25" s="330" t="s">
        <v>65</v>
      </c>
      <c r="H25" s="325"/>
      <c r="I25" s="353">
        <f>IF('MMR-Page2'!$I$17="Number of Events","Report",IF('MMR-Page2'!$I$17="Oxygen, dissolved [DO]","-----",IF('MMR-Page2'!$I$17="Nitrogen, ammonia total [as N]","Report",IF('MMR-Page2'!$I$17="Phosphorus, total [as P]","Report",""))))</f>
      </c>
      <c r="J25" s="354"/>
      <c r="K25" s="353">
        <f>IF('MMR-Page2'!$K$17="Number of Events","Report",IF('MMR-Page2'!$K$17="Oxygen, dissolved [DO]","-----",IF('MMR-Page2'!$K$17="Nitrogen, ammonia total [as N]","Report",IF('MMR-Page2'!$K$17="Phosphorus, total [as P]","Report",""))))</f>
      </c>
      <c r="L25" s="354"/>
      <c r="M25" s="353">
        <f>IF('MMR-Page2'!$M$17="Number of Events","Report",IF('MMR-Page2'!$M$17="Oxygen, dissolved [DO]","-----",IF('MMR-Page2'!$M$17="Nitrogen, ammonia total [as N]","Report",IF('MMR-Page2'!$M$17="Phosphorus, total [as P]","Report",""))))</f>
      </c>
      <c r="N25" s="354"/>
      <c r="O25" s="353">
        <f>IF('MMR-Page2'!$O$17="Number of Events","Report",IF('MMR-Page2'!$O$17="Oxygen, dissolved [DO]","-----",IF('MMR-Page2'!$O$17="Nitrogen, ammonia total [as N]","Report",IF('MMR-Page2'!$O$17="Phosphorus, total [as P]","Report",""))))</f>
      </c>
      <c r="P25" s="354"/>
      <c r="Q25" s="353">
        <f>IF('MMR-Page2'!$Q$17="Number of Events","Report",IF('MMR-Page2'!$Q$17="Oxygen, dissolved [DO]","-----",IF('MMR-Page2'!$Q$17="Nitrogen, ammonia total [as N]","Report",IF('MMR-Page2'!$Q$17="Phosphorus, total [as P]","Report",""))))</f>
      </c>
      <c r="R25" s="354"/>
      <c r="S25" s="353">
        <f>IF('MMR-Page2'!$S$17="Number of Events","Report",IF('MMR-Page2'!$S$17="Oxygen, dissolved [DO]","-----",IF('MMR-Page2'!$S$17="Nitrogen, ammonia total [as N]","Report",IF('MMR-Page2'!$S$17="Phosphorus, total [as P]","Report",""))))</f>
      </c>
      <c r="T25" s="354"/>
      <c r="U25" s="353">
        <f>IF('MMR-Page2'!$U$17="Number of Events","Report",IF('MMR-Page2'!$U$17="Oxygen, dissolved [DO]","-----",IF('MMR-Page2'!$U$17="Nitrogen, ammonia total [as N]","Report",IF('MMR-Page2'!$U$17="Phosphorus, total [as P]","Report",""))))</f>
      </c>
      <c r="V25" s="354"/>
    </row>
    <row r="26" spans="1:22" s="123" customFormat="1" ht="10.5" customHeight="1">
      <c r="A26" s="67"/>
      <c r="B26" s="188"/>
      <c r="C26" s="188"/>
      <c r="D26" s="178" t="s">
        <v>113</v>
      </c>
      <c r="E26" s="182"/>
      <c r="F26" s="190"/>
      <c r="G26" s="330"/>
      <c r="H26" s="325"/>
      <c r="I26" s="326">
        <f>IF('MMR-Page2'!$I$17="","","1")</f>
      </c>
      <c r="J26" s="327"/>
      <c r="K26" s="326">
        <f>IF('MMR-Page2'!$K$17="","","1")</f>
      </c>
      <c r="L26" s="327"/>
      <c r="M26" s="326">
        <f>IF('MMR-Page2'!$M$17="","","1")</f>
      </c>
      <c r="N26" s="327"/>
      <c r="O26" s="326">
        <f>IF('MMR-Page2'!$O$17="","","1")</f>
      </c>
      <c r="P26" s="327"/>
      <c r="Q26" s="326">
        <f>IF('MMR-Page2'!$Q$17="","","1")</f>
      </c>
      <c r="R26" s="327"/>
      <c r="S26" s="326">
        <f>IF('MMR-Page2'!$S$17="","","1")</f>
      </c>
      <c r="T26" s="327"/>
      <c r="U26" s="326">
        <f>IF('MMR-Page2'!$U$17="","","1")</f>
      </c>
      <c r="V26" s="327"/>
    </row>
    <row r="27" spans="1:27" s="123" customFormat="1" ht="10.5" customHeight="1">
      <c r="A27" s="181"/>
      <c r="B27" s="182"/>
      <c r="C27" s="182"/>
      <c r="D27" s="178" t="s">
        <v>111</v>
      </c>
      <c r="E27" s="182"/>
      <c r="F27" s="190"/>
      <c r="G27" s="326">
        <v>0</v>
      </c>
      <c r="H27" s="327"/>
      <c r="I27" s="326">
        <f>IF('MMR-Page2'!$I$17="","","0")</f>
      </c>
      <c r="J27" s="327"/>
      <c r="K27" s="326">
        <f>IF('MMR-Page2'!$K$17="","","0")</f>
      </c>
      <c r="L27" s="327"/>
      <c r="M27" s="326">
        <f>IF('MMR-Page2'!$M$17="","","0")</f>
      </c>
      <c r="N27" s="327"/>
      <c r="O27" s="326">
        <f>IF('MMR-Page2'!$O$17="","","0")</f>
      </c>
      <c r="P27" s="327"/>
      <c r="Q27" s="326">
        <f>IF('MMR-Page2'!$Q$17="","","0")</f>
      </c>
      <c r="R27" s="327"/>
      <c r="S27" s="326">
        <f>IF('MMR-Page2'!$S$17="","","0")</f>
      </c>
      <c r="T27" s="327"/>
      <c r="U27" s="326">
        <f>IF('MMR-Page2'!$U$17="","","0")</f>
      </c>
      <c r="V27" s="327"/>
      <c r="AA27" s="36"/>
    </row>
    <row r="28" spans="1:22" s="33" customFormat="1" ht="10.5" customHeight="1">
      <c r="A28" s="191" t="str">
        <f>CONCATENATE($P$13,$Q$13,"/",1,"/",$R$13,$S$13)</f>
        <v>05/1/16</v>
      </c>
      <c r="B28" s="192">
        <f>(+P13+Q13)*(R13+S13)</f>
        <v>35</v>
      </c>
      <c r="C28" s="193"/>
      <c r="D28" s="193"/>
      <c r="E28" s="328" t="s">
        <v>89</v>
      </c>
      <c r="F28" s="458"/>
      <c r="G28" s="348" t="s">
        <v>12</v>
      </c>
      <c r="H28" s="362"/>
      <c r="I28" s="353">
        <f>IF('MMR-Page2'!$I$17="Number of Events","Count",IF('MMR-Page2'!$I$17="Oxygen, dissolved [DO]","MG/L",IF('MMR-Page2'!$I$17="Nitrogen, ammonia total [as N]","MG/L",IF('MMR-Page2'!$I$17="Phosphorus, total [as P]","MG/L",""))))</f>
      </c>
      <c r="J28" s="354"/>
      <c r="K28" s="353">
        <f>IF('MMR-Page2'!$K$17="Number of Events","Count",IF('MMR-Page2'!$K$17="Oxygen, dissolved [DO]","MG/L",IF('MMR-Page2'!$K$17="Nitrogen, ammonia total [as N]","MG/L",IF('MMR-Page2'!$K$17="Phosphorus, total [as P]","MG/L",""))))</f>
      </c>
      <c r="L28" s="354"/>
      <c r="M28" s="353">
        <f>IF('MMR-Page2'!$M$17="Number of Events","Count",IF('MMR-Page2'!$M$17="Oxygen, dissolved [DO]","MG/L",IF('MMR-Page2'!$M$17="Nitrogen, ammonia total [as N]","MG/L",IF('MMR-Page2'!$M$17="Phosphorus, total [as P]","MG/L",""))))</f>
      </c>
      <c r="N28" s="354"/>
      <c r="O28" s="353">
        <f>IF('MMR-Page2'!$O$17="Number of Events","Count",IF('MMR-Page2'!$O$17="Oxygen, dissolved [DO]","MG/L",IF('MMR-Page2'!$O$17="Nitrogen, ammonia total [as N]","MG/L",IF('MMR-Page2'!$O$17="Phosphorus, total [as P]","MG/L",""))))</f>
      </c>
      <c r="P28" s="354"/>
      <c r="Q28" s="353">
        <f>IF('MMR-Page2'!$Q$17="Number of Events","Count",IF('MMR-Page2'!$Q$17="Oxygen, dissolved [DO]","MG/L",IF('MMR-Page2'!$Q$17="Nitrogen, ammonia total [as N]","MG/L",IF('MMR-Page2'!$Q$17="Phosphorus, total [as P]","MG/L",""))))</f>
      </c>
      <c r="R28" s="354"/>
      <c r="S28" s="353">
        <f>IF('MMR-Page2'!$S$17="Number of Events","Count",IF('MMR-Page2'!$S$17="Oxygen, dissolved [DO]","MG/L",IF('MMR-Page2'!$S$17="Nitrogen, ammonia total [as N]","MG/L",IF('MMR-Page2'!$S$17="Phosphorus, total [as P]","MG/L",""))))</f>
      </c>
      <c r="T28" s="354"/>
      <c r="U28" s="353">
        <f>IF('MMR-Page2'!$U$17="Number of Events","Count",IF('MMR-Page2'!$U$17="Oxygen, dissolved [DO]","MG/L",IF('MMR-Page2'!$U$17="Nitrogen, ammonia total [as N]","MG/L",IF('MMR-Page2'!$U$17="Phosphorus, total [as P]","MG/L",""))))</f>
      </c>
      <c r="V28" s="354"/>
    </row>
    <row r="29" spans="1:22" ht="10.5" customHeight="1">
      <c r="A29" s="118"/>
      <c r="B29" s="119"/>
      <c r="C29" s="119"/>
      <c r="D29" s="119"/>
      <c r="E29" s="60" t="str">
        <f aca="true" t="shared" si="0" ref="E29:E56">IF(+B$28&gt;0,TEXT(A$28+F29-1,"DDD"),"")</f>
        <v>Sun</v>
      </c>
      <c r="F29" s="62">
        <v>1</v>
      </c>
      <c r="G29" s="330">
        <f>IF('MMR-Page1'!G29="","",'MMR-Page1'!G29)</f>
      </c>
      <c r="H29" s="325"/>
      <c r="I29" s="315"/>
      <c r="J29" s="363"/>
      <c r="K29" s="315"/>
      <c r="L29" s="363"/>
      <c r="M29" s="456"/>
      <c r="N29" s="457"/>
      <c r="O29" s="456"/>
      <c r="P29" s="457"/>
      <c r="Q29" s="456"/>
      <c r="R29" s="457"/>
      <c r="S29" s="456"/>
      <c r="T29" s="457"/>
      <c r="U29" s="456"/>
      <c r="V29" s="457"/>
    </row>
    <row r="30" spans="1:22" ht="10.5" customHeight="1">
      <c r="A30" s="67"/>
      <c r="B30" s="68"/>
      <c r="C30" s="68"/>
      <c r="D30" s="68" t="s">
        <v>0</v>
      </c>
      <c r="E30" s="60" t="str">
        <f t="shared" si="0"/>
        <v>Mon</v>
      </c>
      <c r="F30" s="62">
        <v>2</v>
      </c>
      <c r="G30" s="330">
        <f>IF('MMR-Page1'!G30="","",'MMR-Page1'!G30)</f>
      </c>
      <c r="H30" s="325"/>
      <c r="I30" s="315"/>
      <c r="J30" s="363"/>
      <c r="K30" s="315"/>
      <c r="L30" s="363"/>
      <c r="M30" s="456"/>
      <c r="N30" s="457"/>
      <c r="O30" s="456"/>
      <c r="P30" s="457"/>
      <c r="Q30" s="456"/>
      <c r="R30" s="457"/>
      <c r="S30" s="456"/>
      <c r="T30" s="457"/>
      <c r="U30" s="456"/>
      <c r="V30" s="457"/>
    </row>
    <row r="31" spans="1:22" ht="10.5" customHeight="1">
      <c r="A31" s="67"/>
      <c r="B31" s="68"/>
      <c r="C31" s="68"/>
      <c r="D31" s="68" t="s">
        <v>0</v>
      </c>
      <c r="E31" s="60" t="str">
        <f t="shared" si="0"/>
        <v>Tue</v>
      </c>
      <c r="F31" s="62">
        <v>3</v>
      </c>
      <c r="G31" s="330">
        <f>IF('MMR-Page1'!G31="","",'MMR-Page1'!G31)</f>
      </c>
      <c r="H31" s="325"/>
      <c r="I31" s="315"/>
      <c r="J31" s="363"/>
      <c r="K31" s="315"/>
      <c r="L31" s="363"/>
      <c r="M31" s="456"/>
      <c r="N31" s="457"/>
      <c r="O31" s="456"/>
      <c r="P31" s="457"/>
      <c r="Q31" s="456"/>
      <c r="R31" s="457"/>
      <c r="S31" s="456"/>
      <c r="T31" s="457"/>
      <c r="U31" s="456"/>
      <c r="V31" s="457"/>
    </row>
    <row r="32" spans="1:22" ht="10.5" customHeight="1">
      <c r="A32" s="67"/>
      <c r="B32" s="68"/>
      <c r="C32" s="68"/>
      <c r="D32" s="68" t="s">
        <v>0</v>
      </c>
      <c r="E32" s="60" t="str">
        <f t="shared" si="0"/>
        <v>Wed</v>
      </c>
      <c r="F32" s="62">
        <v>4</v>
      </c>
      <c r="G32" s="330">
        <f>IF('MMR-Page1'!G32="","",'MMR-Page1'!G32)</f>
      </c>
      <c r="H32" s="325"/>
      <c r="I32" s="315"/>
      <c r="J32" s="363"/>
      <c r="K32" s="315"/>
      <c r="L32" s="363"/>
      <c r="M32" s="456"/>
      <c r="N32" s="457"/>
      <c r="O32" s="456"/>
      <c r="P32" s="457"/>
      <c r="Q32" s="456"/>
      <c r="R32" s="457"/>
      <c r="S32" s="456"/>
      <c r="T32" s="457"/>
      <c r="U32" s="456"/>
      <c r="V32" s="457"/>
    </row>
    <row r="33" spans="1:22" ht="10.5" customHeight="1">
      <c r="A33" s="67"/>
      <c r="B33" s="68"/>
      <c r="C33" s="68"/>
      <c r="D33" s="68" t="s">
        <v>0</v>
      </c>
      <c r="E33" s="60" t="str">
        <f t="shared" si="0"/>
        <v>Thu</v>
      </c>
      <c r="F33" s="62">
        <v>5</v>
      </c>
      <c r="G33" s="330">
        <f>IF('MMR-Page1'!G33="","",'MMR-Page1'!G33)</f>
      </c>
      <c r="H33" s="325"/>
      <c r="I33" s="315"/>
      <c r="J33" s="363"/>
      <c r="K33" s="315"/>
      <c r="L33" s="363"/>
      <c r="M33" s="456"/>
      <c r="N33" s="457"/>
      <c r="O33" s="456"/>
      <c r="P33" s="457"/>
      <c r="Q33" s="456"/>
      <c r="R33" s="457"/>
      <c r="S33" s="456"/>
      <c r="T33" s="457"/>
      <c r="U33" s="456"/>
      <c r="V33" s="457"/>
    </row>
    <row r="34" spans="1:22" ht="10.5" customHeight="1">
      <c r="A34" s="67"/>
      <c r="B34" s="68"/>
      <c r="C34" s="68"/>
      <c r="D34" s="68" t="s">
        <v>0</v>
      </c>
      <c r="E34" s="60" t="str">
        <f t="shared" si="0"/>
        <v>Fri</v>
      </c>
      <c r="F34" s="62">
        <v>6</v>
      </c>
      <c r="G34" s="330">
        <f>IF('MMR-Page1'!G34="","",'MMR-Page1'!G34)</f>
      </c>
      <c r="H34" s="325"/>
      <c r="I34" s="315"/>
      <c r="J34" s="363"/>
      <c r="K34" s="315"/>
      <c r="L34" s="363"/>
      <c r="M34" s="456"/>
      <c r="N34" s="457"/>
      <c r="O34" s="456"/>
      <c r="P34" s="457"/>
      <c r="Q34" s="456"/>
      <c r="R34" s="457"/>
      <c r="S34" s="456"/>
      <c r="T34" s="457"/>
      <c r="U34" s="456"/>
      <c r="V34" s="457"/>
    </row>
    <row r="35" spans="1:22" ht="10.5" customHeight="1">
      <c r="A35" s="67"/>
      <c r="B35" s="68"/>
      <c r="C35" s="68"/>
      <c r="D35" s="68" t="s">
        <v>0</v>
      </c>
      <c r="E35" s="60" t="str">
        <f t="shared" si="0"/>
        <v>Sat</v>
      </c>
      <c r="F35" s="62">
        <v>7</v>
      </c>
      <c r="G35" s="330">
        <f>IF('MMR-Page1'!G35="","",'MMR-Page1'!G35)</f>
      </c>
      <c r="H35" s="325"/>
      <c r="I35" s="315"/>
      <c r="J35" s="363"/>
      <c r="K35" s="315"/>
      <c r="L35" s="363"/>
      <c r="M35" s="456"/>
      <c r="N35" s="457"/>
      <c r="O35" s="456"/>
      <c r="P35" s="457"/>
      <c r="Q35" s="456"/>
      <c r="R35" s="457"/>
      <c r="S35" s="456"/>
      <c r="T35" s="457"/>
      <c r="U35" s="456"/>
      <c r="V35" s="457"/>
    </row>
    <row r="36" spans="1:22" ht="10.5" customHeight="1">
      <c r="A36" s="67"/>
      <c r="B36" s="68"/>
      <c r="C36" s="68"/>
      <c r="D36" s="68" t="s">
        <v>0</v>
      </c>
      <c r="E36" s="60" t="str">
        <f t="shared" si="0"/>
        <v>Sun</v>
      </c>
      <c r="F36" s="62">
        <v>8</v>
      </c>
      <c r="G36" s="330">
        <f>IF('MMR-Page1'!G36="","",'MMR-Page1'!G36)</f>
      </c>
      <c r="H36" s="325"/>
      <c r="I36" s="315"/>
      <c r="J36" s="363"/>
      <c r="K36" s="315"/>
      <c r="L36" s="363"/>
      <c r="M36" s="456"/>
      <c r="N36" s="457"/>
      <c r="O36" s="456"/>
      <c r="P36" s="457"/>
      <c r="Q36" s="456"/>
      <c r="R36" s="457"/>
      <c r="S36" s="456"/>
      <c r="T36" s="457"/>
      <c r="U36" s="456"/>
      <c r="V36" s="457"/>
    </row>
    <row r="37" spans="1:22" ht="10.5" customHeight="1">
      <c r="A37" s="67"/>
      <c r="B37" s="68"/>
      <c r="C37" s="68"/>
      <c r="D37" s="68" t="s">
        <v>0</v>
      </c>
      <c r="E37" s="60" t="str">
        <f t="shared" si="0"/>
        <v>Mon</v>
      </c>
      <c r="F37" s="62">
        <v>9</v>
      </c>
      <c r="G37" s="330">
        <f>IF('MMR-Page1'!G37="","",'MMR-Page1'!G37)</f>
      </c>
      <c r="H37" s="325"/>
      <c r="I37" s="315"/>
      <c r="J37" s="363"/>
      <c r="K37" s="315"/>
      <c r="L37" s="363"/>
      <c r="M37" s="456"/>
      <c r="N37" s="457"/>
      <c r="O37" s="456"/>
      <c r="P37" s="457"/>
      <c r="Q37" s="456"/>
      <c r="R37" s="457"/>
      <c r="S37" s="456"/>
      <c r="T37" s="457"/>
      <c r="U37" s="456"/>
      <c r="V37" s="457"/>
    </row>
    <row r="38" spans="1:22" ht="10.5" customHeight="1">
      <c r="A38" s="67"/>
      <c r="B38" s="68"/>
      <c r="C38" s="68"/>
      <c r="D38" s="68" t="s">
        <v>0</v>
      </c>
      <c r="E38" s="60" t="str">
        <f t="shared" si="0"/>
        <v>Tue</v>
      </c>
      <c r="F38" s="62">
        <v>10</v>
      </c>
      <c r="G38" s="330">
        <f>IF('MMR-Page1'!G38="","",'MMR-Page1'!G38)</f>
      </c>
      <c r="H38" s="325"/>
      <c r="I38" s="315"/>
      <c r="J38" s="363"/>
      <c r="K38" s="315"/>
      <c r="L38" s="363"/>
      <c r="M38" s="456"/>
      <c r="N38" s="457"/>
      <c r="O38" s="456"/>
      <c r="P38" s="457"/>
      <c r="Q38" s="456"/>
      <c r="R38" s="457"/>
      <c r="S38" s="456"/>
      <c r="T38" s="457"/>
      <c r="U38" s="456"/>
      <c r="V38" s="457"/>
    </row>
    <row r="39" spans="1:22" ht="10.5" customHeight="1">
      <c r="A39" s="67"/>
      <c r="B39" s="68"/>
      <c r="C39" s="68"/>
      <c r="D39" s="68" t="s">
        <v>0</v>
      </c>
      <c r="E39" s="60" t="str">
        <f t="shared" si="0"/>
        <v>Wed</v>
      </c>
      <c r="F39" s="62">
        <v>11</v>
      </c>
      <c r="G39" s="330">
        <f>IF('MMR-Page1'!G39="","",'MMR-Page1'!G39)</f>
      </c>
      <c r="H39" s="325"/>
      <c r="I39" s="315"/>
      <c r="J39" s="363"/>
      <c r="K39" s="315"/>
      <c r="L39" s="363"/>
      <c r="M39" s="456"/>
      <c r="N39" s="457"/>
      <c r="O39" s="456"/>
      <c r="P39" s="457"/>
      <c r="Q39" s="456"/>
      <c r="R39" s="457"/>
      <c r="S39" s="456"/>
      <c r="T39" s="457"/>
      <c r="U39" s="456"/>
      <c r="V39" s="457"/>
    </row>
    <row r="40" spans="1:22" ht="10.5" customHeight="1">
      <c r="A40" s="67"/>
      <c r="B40" s="68"/>
      <c r="C40" s="68"/>
      <c r="D40" s="68" t="s">
        <v>0</v>
      </c>
      <c r="E40" s="60" t="str">
        <f t="shared" si="0"/>
        <v>Thu</v>
      </c>
      <c r="F40" s="62">
        <v>12</v>
      </c>
      <c r="G40" s="330">
        <f>IF('MMR-Page1'!G40="","",'MMR-Page1'!G40)</f>
      </c>
      <c r="H40" s="325"/>
      <c r="I40" s="315"/>
      <c r="J40" s="363"/>
      <c r="K40" s="315"/>
      <c r="L40" s="363"/>
      <c r="M40" s="456"/>
      <c r="N40" s="457"/>
      <c r="O40" s="456"/>
      <c r="P40" s="457"/>
      <c r="Q40" s="456"/>
      <c r="R40" s="457"/>
      <c r="S40" s="456"/>
      <c r="T40" s="457"/>
      <c r="U40" s="456"/>
      <c r="V40" s="457"/>
    </row>
    <row r="41" spans="1:22" ht="10.5" customHeight="1">
      <c r="A41" s="67"/>
      <c r="B41" s="68"/>
      <c r="C41" s="68"/>
      <c r="D41" s="68" t="s">
        <v>0</v>
      </c>
      <c r="E41" s="60" t="str">
        <f t="shared" si="0"/>
        <v>Fri</v>
      </c>
      <c r="F41" s="62">
        <v>13</v>
      </c>
      <c r="G41" s="330">
        <f>IF('MMR-Page1'!G41="","",'MMR-Page1'!G41)</f>
      </c>
      <c r="H41" s="325"/>
      <c r="I41" s="315"/>
      <c r="J41" s="363"/>
      <c r="K41" s="315"/>
      <c r="L41" s="363"/>
      <c r="M41" s="456"/>
      <c r="N41" s="457"/>
      <c r="O41" s="456"/>
      <c r="P41" s="457"/>
      <c r="Q41" s="456"/>
      <c r="R41" s="457"/>
      <c r="S41" s="456"/>
      <c r="T41" s="457"/>
      <c r="U41" s="456"/>
      <c r="V41" s="457"/>
    </row>
    <row r="42" spans="1:22" ht="10.5" customHeight="1">
      <c r="A42" s="67"/>
      <c r="B42" s="68"/>
      <c r="C42" s="68"/>
      <c r="D42" s="68" t="s">
        <v>0</v>
      </c>
      <c r="E42" s="60" t="str">
        <f t="shared" si="0"/>
        <v>Sat</v>
      </c>
      <c r="F42" s="62">
        <v>14</v>
      </c>
      <c r="G42" s="330">
        <f>IF('MMR-Page1'!G42="","",'MMR-Page1'!G42)</f>
      </c>
      <c r="H42" s="325"/>
      <c r="I42" s="315"/>
      <c r="J42" s="363"/>
      <c r="K42" s="315"/>
      <c r="L42" s="363"/>
      <c r="M42" s="456"/>
      <c r="N42" s="457"/>
      <c r="O42" s="456"/>
      <c r="P42" s="457"/>
      <c r="Q42" s="456"/>
      <c r="R42" s="457"/>
      <c r="S42" s="456"/>
      <c r="T42" s="457"/>
      <c r="U42" s="456"/>
      <c r="V42" s="457"/>
    </row>
    <row r="43" spans="1:22" ht="10.5" customHeight="1">
      <c r="A43" s="67"/>
      <c r="B43" s="68"/>
      <c r="C43" s="68"/>
      <c r="D43" s="68" t="s">
        <v>0</v>
      </c>
      <c r="E43" s="60" t="str">
        <f t="shared" si="0"/>
        <v>Sun</v>
      </c>
      <c r="F43" s="62">
        <v>15</v>
      </c>
      <c r="G43" s="330">
        <f>IF('MMR-Page1'!G43="","",'MMR-Page1'!G43)</f>
      </c>
      <c r="H43" s="325"/>
      <c r="I43" s="315"/>
      <c r="J43" s="363"/>
      <c r="K43" s="315"/>
      <c r="L43" s="363"/>
      <c r="M43" s="456"/>
      <c r="N43" s="457"/>
      <c r="O43" s="456"/>
      <c r="P43" s="457"/>
      <c r="Q43" s="456"/>
      <c r="R43" s="457"/>
      <c r="S43" s="456"/>
      <c r="T43" s="457"/>
      <c r="U43" s="456"/>
      <c r="V43" s="457"/>
    </row>
    <row r="44" spans="1:22" ht="10.5" customHeight="1">
      <c r="A44" s="67"/>
      <c r="B44" s="68"/>
      <c r="C44" s="68"/>
      <c r="D44" s="68" t="s">
        <v>0</v>
      </c>
      <c r="E44" s="60" t="str">
        <f t="shared" si="0"/>
        <v>Mon</v>
      </c>
      <c r="F44" s="62">
        <v>16</v>
      </c>
      <c r="G44" s="330">
        <f>IF('MMR-Page1'!G44="","",'MMR-Page1'!G44)</f>
      </c>
      <c r="H44" s="325"/>
      <c r="I44" s="315"/>
      <c r="J44" s="363"/>
      <c r="K44" s="315"/>
      <c r="L44" s="363"/>
      <c r="M44" s="456"/>
      <c r="N44" s="457"/>
      <c r="O44" s="456"/>
      <c r="P44" s="457"/>
      <c r="Q44" s="456"/>
      <c r="R44" s="457"/>
      <c r="S44" s="456"/>
      <c r="T44" s="457"/>
      <c r="U44" s="456"/>
      <c r="V44" s="457"/>
    </row>
    <row r="45" spans="1:22" ht="10.5" customHeight="1">
      <c r="A45" s="67"/>
      <c r="B45" s="68"/>
      <c r="C45" s="68"/>
      <c r="D45" s="68" t="s">
        <v>0</v>
      </c>
      <c r="E45" s="60" t="str">
        <f t="shared" si="0"/>
        <v>Tue</v>
      </c>
      <c r="F45" s="62">
        <v>17</v>
      </c>
      <c r="G45" s="330">
        <f>IF('MMR-Page1'!G45="","",'MMR-Page1'!G45)</f>
      </c>
      <c r="H45" s="325"/>
      <c r="I45" s="315"/>
      <c r="J45" s="363"/>
      <c r="K45" s="315"/>
      <c r="L45" s="363"/>
      <c r="M45" s="456"/>
      <c r="N45" s="457"/>
      <c r="O45" s="456"/>
      <c r="P45" s="457"/>
      <c r="Q45" s="456"/>
      <c r="R45" s="457"/>
      <c r="S45" s="456"/>
      <c r="T45" s="457"/>
      <c r="U45" s="456"/>
      <c r="V45" s="457"/>
    </row>
    <row r="46" spans="1:22" ht="10.5" customHeight="1">
      <c r="A46" s="67"/>
      <c r="B46" s="68"/>
      <c r="C46" s="68"/>
      <c r="D46" s="68" t="s">
        <v>0</v>
      </c>
      <c r="E46" s="60" t="str">
        <f t="shared" si="0"/>
        <v>Wed</v>
      </c>
      <c r="F46" s="62">
        <v>18</v>
      </c>
      <c r="G46" s="330">
        <f>IF('MMR-Page1'!G46="","",'MMR-Page1'!G46)</f>
      </c>
      <c r="H46" s="325"/>
      <c r="I46" s="315"/>
      <c r="J46" s="363"/>
      <c r="K46" s="315"/>
      <c r="L46" s="363"/>
      <c r="M46" s="456"/>
      <c r="N46" s="457"/>
      <c r="O46" s="456"/>
      <c r="P46" s="457"/>
      <c r="Q46" s="456"/>
      <c r="R46" s="457"/>
      <c r="S46" s="456"/>
      <c r="T46" s="457"/>
      <c r="U46" s="456"/>
      <c r="V46" s="457"/>
    </row>
    <row r="47" spans="1:22" ht="10.5" customHeight="1">
      <c r="A47" s="67"/>
      <c r="B47" s="68"/>
      <c r="C47" s="68"/>
      <c r="D47" s="68" t="s">
        <v>0</v>
      </c>
      <c r="E47" s="60" t="str">
        <f t="shared" si="0"/>
        <v>Thu</v>
      </c>
      <c r="F47" s="62">
        <v>19</v>
      </c>
      <c r="G47" s="330">
        <f>IF('MMR-Page1'!G47="","",'MMR-Page1'!G47)</f>
      </c>
      <c r="H47" s="325"/>
      <c r="I47" s="315"/>
      <c r="J47" s="363"/>
      <c r="K47" s="315"/>
      <c r="L47" s="363"/>
      <c r="M47" s="456"/>
      <c r="N47" s="457"/>
      <c r="O47" s="456"/>
      <c r="P47" s="457"/>
      <c r="Q47" s="456"/>
      <c r="R47" s="457"/>
      <c r="S47" s="456"/>
      <c r="T47" s="457"/>
      <c r="U47" s="456"/>
      <c r="V47" s="457"/>
    </row>
    <row r="48" spans="1:22" ht="10.5" customHeight="1">
      <c r="A48" s="67"/>
      <c r="B48" s="68"/>
      <c r="C48" s="68"/>
      <c r="D48" s="68" t="s">
        <v>0</v>
      </c>
      <c r="E48" s="60" t="str">
        <f t="shared" si="0"/>
        <v>Fri</v>
      </c>
      <c r="F48" s="62">
        <v>20</v>
      </c>
      <c r="G48" s="330">
        <f>IF('MMR-Page1'!G48="","",'MMR-Page1'!G48)</f>
      </c>
      <c r="H48" s="325"/>
      <c r="I48" s="315"/>
      <c r="J48" s="363"/>
      <c r="K48" s="315"/>
      <c r="L48" s="363"/>
      <c r="M48" s="456"/>
      <c r="N48" s="457"/>
      <c r="O48" s="456"/>
      <c r="P48" s="457"/>
      <c r="Q48" s="456"/>
      <c r="R48" s="457"/>
      <c r="S48" s="456"/>
      <c r="T48" s="457"/>
      <c r="U48" s="456"/>
      <c r="V48" s="457"/>
    </row>
    <row r="49" spans="1:22" ht="10.5" customHeight="1">
      <c r="A49" s="67"/>
      <c r="B49" s="68"/>
      <c r="C49" s="68"/>
      <c r="D49" s="68" t="s">
        <v>0</v>
      </c>
      <c r="E49" s="60" t="str">
        <f t="shared" si="0"/>
        <v>Sat</v>
      </c>
      <c r="F49" s="62">
        <v>21</v>
      </c>
      <c r="G49" s="330">
        <f>IF('MMR-Page1'!G49="","",'MMR-Page1'!G49)</f>
      </c>
      <c r="H49" s="325"/>
      <c r="I49" s="315"/>
      <c r="J49" s="363"/>
      <c r="K49" s="315"/>
      <c r="L49" s="363"/>
      <c r="M49" s="456"/>
      <c r="N49" s="457"/>
      <c r="O49" s="456"/>
      <c r="P49" s="457"/>
      <c r="Q49" s="456"/>
      <c r="R49" s="457"/>
      <c r="S49" s="456"/>
      <c r="T49" s="457"/>
      <c r="U49" s="456"/>
      <c r="V49" s="457"/>
    </row>
    <row r="50" spans="1:22" ht="10.5" customHeight="1">
      <c r="A50" s="67"/>
      <c r="B50" s="68"/>
      <c r="C50" s="68"/>
      <c r="D50" s="68" t="s">
        <v>0</v>
      </c>
      <c r="E50" s="60" t="str">
        <f t="shared" si="0"/>
        <v>Sun</v>
      </c>
      <c r="F50" s="62">
        <v>22</v>
      </c>
      <c r="G50" s="330">
        <f>IF('MMR-Page1'!G50="","",'MMR-Page1'!G50)</f>
      </c>
      <c r="H50" s="325"/>
      <c r="I50" s="315"/>
      <c r="J50" s="363"/>
      <c r="K50" s="315"/>
      <c r="L50" s="363"/>
      <c r="M50" s="456"/>
      <c r="N50" s="457"/>
      <c r="O50" s="456"/>
      <c r="P50" s="457"/>
      <c r="Q50" s="456"/>
      <c r="R50" s="457"/>
      <c r="S50" s="456"/>
      <c r="T50" s="457"/>
      <c r="U50" s="456"/>
      <c r="V50" s="457"/>
    </row>
    <row r="51" spans="1:22" ht="10.5" customHeight="1">
      <c r="A51" s="67"/>
      <c r="B51" s="68"/>
      <c r="C51" s="68"/>
      <c r="D51" s="68" t="s">
        <v>0</v>
      </c>
      <c r="E51" s="60" t="str">
        <f t="shared" si="0"/>
        <v>Mon</v>
      </c>
      <c r="F51" s="62">
        <v>23</v>
      </c>
      <c r="G51" s="330">
        <f>IF('MMR-Page1'!G51="","",'MMR-Page1'!G51)</f>
      </c>
      <c r="H51" s="325"/>
      <c r="I51" s="315"/>
      <c r="J51" s="363"/>
      <c r="K51" s="315"/>
      <c r="L51" s="363"/>
      <c r="M51" s="456"/>
      <c r="N51" s="457"/>
      <c r="O51" s="456"/>
      <c r="P51" s="457"/>
      <c r="Q51" s="456"/>
      <c r="R51" s="457"/>
      <c r="S51" s="456"/>
      <c r="T51" s="457"/>
      <c r="U51" s="456"/>
      <c r="V51" s="457"/>
    </row>
    <row r="52" spans="1:22" ht="10.5" customHeight="1">
      <c r="A52" s="67"/>
      <c r="B52" s="68"/>
      <c r="C52" s="68"/>
      <c r="D52" s="68" t="s">
        <v>0</v>
      </c>
      <c r="E52" s="60" t="str">
        <f t="shared" si="0"/>
        <v>Tue</v>
      </c>
      <c r="F52" s="62">
        <v>24</v>
      </c>
      <c r="G52" s="330">
        <f>IF('MMR-Page1'!G52="","",'MMR-Page1'!G52)</f>
      </c>
      <c r="H52" s="325"/>
      <c r="I52" s="315"/>
      <c r="J52" s="363"/>
      <c r="K52" s="315"/>
      <c r="L52" s="363"/>
      <c r="M52" s="456"/>
      <c r="N52" s="457"/>
      <c r="O52" s="456"/>
      <c r="P52" s="457"/>
      <c r="Q52" s="456"/>
      <c r="R52" s="457"/>
      <c r="S52" s="456"/>
      <c r="T52" s="457"/>
      <c r="U52" s="456"/>
      <c r="V52" s="457"/>
    </row>
    <row r="53" spans="1:22" ht="10.5" customHeight="1">
      <c r="A53" s="67"/>
      <c r="B53" s="68"/>
      <c r="C53" s="68"/>
      <c r="D53" s="68" t="s">
        <v>0</v>
      </c>
      <c r="E53" s="60" t="str">
        <f t="shared" si="0"/>
        <v>Wed</v>
      </c>
      <c r="F53" s="62">
        <v>25</v>
      </c>
      <c r="G53" s="330">
        <f>IF('MMR-Page1'!G53="","",'MMR-Page1'!G53)</f>
      </c>
      <c r="H53" s="325"/>
      <c r="I53" s="315"/>
      <c r="J53" s="363"/>
      <c r="K53" s="315"/>
      <c r="L53" s="363"/>
      <c r="M53" s="456"/>
      <c r="N53" s="457"/>
      <c r="O53" s="456"/>
      <c r="P53" s="457"/>
      <c r="Q53" s="456"/>
      <c r="R53" s="457"/>
      <c r="S53" s="456"/>
      <c r="T53" s="457"/>
      <c r="U53" s="456"/>
      <c r="V53" s="457"/>
    </row>
    <row r="54" spans="1:22" ht="10.5" customHeight="1">
      <c r="A54" s="67"/>
      <c r="B54" s="68"/>
      <c r="C54" s="68"/>
      <c r="D54" s="68" t="s">
        <v>0</v>
      </c>
      <c r="E54" s="60" t="str">
        <f t="shared" si="0"/>
        <v>Thu</v>
      </c>
      <c r="F54" s="62">
        <v>26</v>
      </c>
      <c r="G54" s="330">
        <f>IF('MMR-Page1'!G54="","",'MMR-Page1'!G54)</f>
      </c>
      <c r="H54" s="325"/>
      <c r="I54" s="315"/>
      <c r="J54" s="363"/>
      <c r="K54" s="315"/>
      <c r="L54" s="363"/>
      <c r="M54" s="456"/>
      <c r="N54" s="457"/>
      <c r="O54" s="456"/>
      <c r="P54" s="457"/>
      <c r="Q54" s="456"/>
      <c r="R54" s="457"/>
      <c r="S54" s="456"/>
      <c r="T54" s="457"/>
      <c r="U54" s="456"/>
      <c r="V54" s="457"/>
    </row>
    <row r="55" spans="1:22" ht="10.5" customHeight="1">
      <c r="A55" s="67"/>
      <c r="B55" s="68"/>
      <c r="C55" s="68"/>
      <c r="D55" s="68" t="s">
        <v>0</v>
      </c>
      <c r="E55" s="60" t="str">
        <f t="shared" si="0"/>
        <v>Fri</v>
      </c>
      <c r="F55" s="62">
        <v>27</v>
      </c>
      <c r="G55" s="330">
        <f>IF('MMR-Page1'!G55="","",'MMR-Page1'!G55)</f>
      </c>
      <c r="H55" s="325"/>
      <c r="I55" s="315"/>
      <c r="J55" s="363"/>
      <c r="K55" s="315"/>
      <c r="L55" s="363"/>
      <c r="M55" s="456"/>
      <c r="N55" s="457"/>
      <c r="O55" s="456"/>
      <c r="P55" s="457"/>
      <c r="Q55" s="456"/>
      <c r="R55" s="457"/>
      <c r="S55" s="456"/>
      <c r="T55" s="457"/>
      <c r="U55" s="456"/>
      <c r="V55" s="457"/>
    </row>
    <row r="56" spans="1:22" ht="10.5" customHeight="1">
      <c r="A56" s="67"/>
      <c r="B56" s="68"/>
      <c r="C56" s="68"/>
      <c r="D56" s="68" t="s">
        <v>0</v>
      </c>
      <c r="E56" s="60" t="str">
        <f t="shared" si="0"/>
        <v>Sat</v>
      </c>
      <c r="F56" s="62">
        <v>28</v>
      </c>
      <c r="G56" s="330">
        <f>IF('MMR-Page1'!G56="","",'MMR-Page1'!G56)</f>
      </c>
      <c r="H56" s="325"/>
      <c r="I56" s="315"/>
      <c r="J56" s="363"/>
      <c r="K56" s="315"/>
      <c r="L56" s="363"/>
      <c r="M56" s="456"/>
      <c r="N56" s="457"/>
      <c r="O56" s="456"/>
      <c r="P56" s="457"/>
      <c r="Q56" s="456"/>
      <c r="R56" s="457"/>
      <c r="S56" s="456"/>
      <c r="T56" s="457"/>
      <c r="U56" s="456"/>
      <c r="V56" s="457"/>
    </row>
    <row r="57" spans="1:25" ht="10.5" customHeight="1">
      <c r="A57" s="67"/>
      <c r="B57" s="68"/>
      <c r="C57" s="68"/>
      <c r="D57" s="68" t="s">
        <v>0</v>
      </c>
      <c r="E57" s="60" t="str">
        <f>IF(AND(F57=29,+B$28&gt;0),TEXT(A$28+F57-1,"DDD"),"")</f>
        <v>Sun</v>
      </c>
      <c r="F57" s="62">
        <f>IF(10*P13+Q13&lt;&gt;2,29,IF(INT((R13+S13)/4)=(R13+S13)/4,29,""))</f>
        <v>29</v>
      </c>
      <c r="G57" s="330">
        <f>IF('MMR-Page1'!G57="","",'MMR-Page1'!G57)</f>
      </c>
      <c r="H57" s="325"/>
      <c r="I57" s="315"/>
      <c r="J57" s="363"/>
      <c r="K57" s="315"/>
      <c r="L57" s="363"/>
      <c r="M57" s="456"/>
      <c r="N57" s="457"/>
      <c r="O57" s="456"/>
      <c r="P57" s="457"/>
      <c r="Q57" s="456"/>
      <c r="R57" s="457"/>
      <c r="S57" s="456"/>
      <c r="T57" s="457"/>
      <c r="U57" s="456"/>
      <c r="V57" s="457"/>
      <c r="X57" s="36"/>
      <c r="Y57" s="36"/>
    </row>
    <row r="58" spans="1:25" ht="10.5" customHeight="1">
      <c r="A58" s="67"/>
      <c r="B58" s="68"/>
      <c r="C58" s="68"/>
      <c r="D58" s="68" t="s">
        <v>0</v>
      </c>
      <c r="E58" s="60" t="str">
        <f>IF(AND(F58=30,B28&gt;0),TEXT(A$28+F58-1,"DDD"),"")</f>
        <v>Mon</v>
      </c>
      <c r="F58" s="62">
        <f>IF(10*P13+Q13&lt;&gt;2,30,"")</f>
        <v>30</v>
      </c>
      <c r="G58" s="330">
        <f>IF('MMR-Page1'!G58="","",'MMR-Page1'!G58)</f>
      </c>
      <c r="H58" s="325"/>
      <c r="I58" s="315"/>
      <c r="J58" s="363"/>
      <c r="K58" s="315"/>
      <c r="L58" s="363"/>
      <c r="M58" s="456"/>
      <c r="N58" s="457"/>
      <c r="O58" s="456"/>
      <c r="P58" s="457"/>
      <c r="Q58" s="456"/>
      <c r="R58" s="457"/>
      <c r="S58" s="456"/>
      <c r="T58" s="457"/>
      <c r="U58" s="456"/>
      <c r="V58" s="457"/>
      <c r="X58" s="36"/>
      <c r="Y58" s="36"/>
    </row>
    <row r="59" spans="1:25" ht="10.5" customHeight="1">
      <c r="A59" s="63"/>
      <c r="B59" s="64"/>
      <c r="C59" s="64"/>
      <c r="D59" s="64" t="s">
        <v>0</v>
      </c>
      <c r="E59" s="60" t="str">
        <f>IF(AND(F59=31,B28&gt;0),TEXT(A$28+F59-1,"DDD"),"")</f>
        <v>Tue</v>
      </c>
      <c r="F59" s="62">
        <f>IF(OR(P13+Q13=1,Q13=5,Q13=7,Q13=8,P13+Q13=3),31,"")</f>
        <v>31</v>
      </c>
      <c r="G59" s="330">
        <f>IF('MMR-Page1'!G59="","",'MMR-Page1'!G59)</f>
      </c>
      <c r="H59" s="325"/>
      <c r="I59" s="315"/>
      <c r="J59" s="363"/>
      <c r="K59" s="315"/>
      <c r="L59" s="363"/>
      <c r="M59" s="456"/>
      <c r="N59" s="457"/>
      <c r="O59" s="456"/>
      <c r="P59" s="457"/>
      <c r="Q59" s="456"/>
      <c r="R59" s="457"/>
      <c r="S59" s="456"/>
      <c r="T59" s="457"/>
      <c r="U59" s="456"/>
      <c r="V59" s="457"/>
      <c r="X59" s="36"/>
      <c r="Y59" s="36"/>
    </row>
    <row r="60" spans="1:25" ht="10.5" customHeight="1">
      <c r="A60" s="60" t="s">
        <v>16</v>
      </c>
      <c r="B60" s="61"/>
      <c r="C60" s="61"/>
      <c r="D60" s="61"/>
      <c r="E60" s="61"/>
      <c r="F60" s="62" t="s">
        <v>0</v>
      </c>
      <c r="G60" s="330" t="str">
        <f>IF(SUM(G29:G59)&gt;0,AVERAGE(G29:G59)," ")</f>
        <v> </v>
      </c>
      <c r="H60" s="325" t="str">
        <f>IF(SUM(H29:H59)&gt;0,AVERAGE(H29:H59)," ")</f>
        <v> </v>
      </c>
      <c r="I60" s="454">
        <f>IF(MIN(I29:I59)&gt;0,AVERAGE(I29:I59),"")</f>
      </c>
      <c r="J60" s="455" t="str">
        <f>IF(SUM(J29:J59)&gt;0,AVERAGE(J29:J59)," ")</f>
        <v> </v>
      </c>
      <c r="K60" s="454">
        <f>IF(MIN(K29:K59)&gt;0,AVERAGE(K29:K59),"")</f>
      </c>
      <c r="L60" s="455" t="str">
        <f>IF(SUM(L29:L59)&gt;0,AVERAGE(L29:L59)," ")</f>
        <v> </v>
      </c>
      <c r="M60" s="454">
        <f>IF(MIN(M29:M59)&gt;0,AVERAGE(M29:M59),"")</f>
      </c>
      <c r="N60" s="455" t="str">
        <f>IF(SUM(N29:N59)&gt;0,AVERAGE(N29:N59)," ")</f>
        <v> </v>
      </c>
      <c r="O60" s="454">
        <f>IF(MIN(O29:O59)&gt;0,AVERAGE(O29:O59),"")</f>
      </c>
      <c r="P60" s="455" t="str">
        <f>IF(SUM(P29:P59)&gt;0,AVERAGE(P29:P59)," ")</f>
        <v> </v>
      </c>
      <c r="Q60" s="454">
        <f>IF(MIN(Q29:Q59)&gt;0,AVERAGE(Q29:Q59),"")</f>
      </c>
      <c r="R60" s="455" t="str">
        <f>IF(SUM(R29:R59)&gt;0,AVERAGE(R29:R59)," ")</f>
        <v> </v>
      </c>
      <c r="S60" s="454">
        <f>IF(MIN(S29:S59)&gt;0,AVERAGE(S29:S59),"")</f>
      </c>
      <c r="T60" s="455" t="str">
        <f>IF(SUM(T29:T59)&gt;0,AVERAGE(T29:T59)," ")</f>
        <v> </v>
      </c>
      <c r="U60" s="454">
        <f>IF(MIN(U29:U59)&gt;0,AVERAGE(U29:U59),"")</f>
      </c>
      <c r="V60" s="455" t="str">
        <f>IF(SUM(V29:V59)&gt;0,AVERAGE(V29:V59)," ")</f>
        <v> </v>
      </c>
      <c r="X60" s="36"/>
      <c r="Y60" s="36"/>
    </row>
    <row r="61" spans="1:22" ht="10.5" customHeight="1">
      <c r="A61" s="60" t="s">
        <v>17</v>
      </c>
      <c r="B61" s="61"/>
      <c r="C61" s="61"/>
      <c r="D61" s="61"/>
      <c r="E61" s="61"/>
      <c r="F61" s="62" t="s">
        <v>0</v>
      </c>
      <c r="G61" s="330">
        <f>IF(SUM(G29:G59)&gt;0,MAX(G29:G59),"")</f>
      </c>
      <c r="H61" s="325" t="str">
        <f>IF(SUM(H29:H59)&gt;0,MAX(H29:H59)," ")</f>
        <v> </v>
      </c>
      <c r="I61" s="421">
        <f>IF(SUM(I29:J59)&gt;0,MAX(I29:J59),"")</f>
      </c>
      <c r="J61" s="422" t="str">
        <f>IF(SUM(J29:J59)&gt;0,MAX(J29:J59)," ")</f>
        <v> </v>
      </c>
      <c r="K61" s="421">
        <f>IF(SUM(K29:L59)&gt;0,MAX(K29:L59),"")</f>
      </c>
      <c r="L61" s="422" t="str">
        <f>IF(SUM(L29:L59)&gt;0,MAX(L29:L59)," ")</f>
        <v> </v>
      </c>
      <c r="M61" s="421">
        <f>IF(SUM(M29:N59)&gt;0,MAX(M29:N59),"")</f>
      </c>
      <c r="N61" s="422" t="str">
        <f>IF(SUM(N29:N59)&gt;0,MAX(N29:N59)," ")</f>
        <v> </v>
      </c>
      <c r="O61" s="421">
        <f>IF(SUM(O29:P59)&gt;0,MAX(O29:P59),"")</f>
      </c>
      <c r="P61" s="422" t="str">
        <f>IF(SUM(P29:P59)&gt;0,MAX(P29:P59)," ")</f>
        <v> </v>
      </c>
      <c r="Q61" s="421">
        <f>IF(SUM(Q29:R59)&gt;0,MAX(Q29:R59),"")</f>
      </c>
      <c r="R61" s="422" t="str">
        <f>IF(SUM(R29:R59)&gt;0,MAX(R29:R59)," ")</f>
        <v> </v>
      </c>
      <c r="S61" s="421">
        <f>IF(SUM(S29:T59)&gt;0,MAX(S29:T59),"")</f>
      </c>
      <c r="T61" s="422" t="str">
        <f>IF(SUM(T29:T59)&gt;0,MAX(T29:T59)," ")</f>
        <v> </v>
      </c>
      <c r="U61" s="421">
        <f>IF(SUM(U29:V59)&gt;0,MAX(U29:V59),"")</f>
      </c>
      <c r="V61" s="422" t="str">
        <f>IF(SUM(V29:V59)&gt;0,MAX(V29:V59)," ")</f>
        <v> </v>
      </c>
    </row>
    <row r="62" spans="1:22" ht="10.5" customHeight="1">
      <c r="A62" s="60" t="s">
        <v>18</v>
      </c>
      <c r="B62" s="61"/>
      <c r="C62" s="61"/>
      <c r="D62" s="61"/>
      <c r="E62" s="61"/>
      <c r="F62" s="62" t="s">
        <v>0</v>
      </c>
      <c r="G62" s="330">
        <f>IF(SUM(G29:G59)&gt;0,MIN(G29:G59),"")</f>
      </c>
      <c r="H62" s="325">
        <f>IF(SUM(H29:H59)&gt;0,MIN(H29:H59),"")</f>
      </c>
      <c r="I62" s="421">
        <f>IF(SUM(I29:J59)&gt;0,MIN(I29:J59),"")</f>
      </c>
      <c r="J62" s="422">
        <f>IF(SUM(J29:J59)&gt;0,MIN(J29:J59),"")</f>
      </c>
      <c r="K62" s="421">
        <f>IF(SUM(K29:L59)&gt;0,MIN(K29:L59),"")</f>
      </c>
      <c r="L62" s="422">
        <f>IF(SUM(L29:L59)&gt;0,MIN(L29:L59),"")</f>
      </c>
      <c r="M62" s="421">
        <f>IF(SUM(M29:N59)&gt;0,MIN(M29:N59),"")</f>
      </c>
      <c r="N62" s="422">
        <f>IF(SUM(N29:N59)&gt;0,MIN(N29:N59),"")</f>
      </c>
      <c r="O62" s="421">
        <f>IF(SUM(O29:P59)&gt;0,MIN(O29:P59),"")</f>
      </c>
      <c r="P62" s="422">
        <f>IF(SUM(P29:P59)&gt;0,MIN(P29:P59),"")</f>
      </c>
      <c r="Q62" s="421">
        <f>IF(SUM(Q29:R59)&gt;0,MIN(Q29:R59),"")</f>
      </c>
      <c r="R62" s="422">
        <f>IF(SUM(R29:R59)&gt;0,MIN(R29:R59),"")</f>
      </c>
      <c r="S62" s="421">
        <f>IF(SUM(S29:T59)&gt;0,MIN(S29:T59),"")</f>
      </c>
      <c r="T62" s="422">
        <f>IF(SUM(T29:T59)&gt;0,MIN(T29:T59),"")</f>
      </c>
      <c r="U62" s="421">
        <f>IF(SUM(U29:V59)&gt;0,MIN(U29:V59),"")</f>
      </c>
      <c r="V62" s="422">
        <f>IF(SUM(V29:V59)&gt;0,MIN(V29:V59),"")</f>
      </c>
    </row>
    <row r="63" spans="1:22" ht="10.5" customHeight="1">
      <c r="A63" s="70" t="s">
        <v>19</v>
      </c>
      <c r="B63" s="66"/>
      <c r="C63" s="66"/>
      <c r="D63" s="66"/>
      <c r="E63" s="66"/>
      <c r="F63" s="71"/>
      <c r="G63" s="446"/>
      <c r="H63" s="447"/>
      <c r="I63" s="450">
        <f>IF('MMR-Page2'!$I$17="","","0")</f>
      </c>
      <c r="J63" s="451"/>
      <c r="K63" s="450">
        <f>IF('MMR-Page2'!$K$17="","","0")</f>
      </c>
      <c r="L63" s="451"/>
      <c r="M63" s="450">
        <f>IF('MMR-Page2'!$M$17="","","0")</f>
      </c>
      <c r="N63" s="451"/>
      <c r="O63" s="450">
        <f>IF('MMR-Page2'!$O$17="","","0")</f>
      </c>
      <c r="P63" s="451"/>
      <c r="Q63" s="450">
        <f>IF('MMR-Page2'!$Q$17="","","0")</f>
      </c>
      <c r="R63" s="451"/>
      <c r="S63" s="450">
        <f>IF('MMR-Page2'!$S$17="","","0")</f>
      </c>
      <c r="T63" s="451"/>
      <c r="U63" s="450">
        <f>IF('MMR-Page2'!$U$17="","","0")</f>
      </c>
      <c r="V63" s="451"/>
    </row>
    <row r="64" spans="1:22" ht="10.5" customHeight="1">
      <c r="A64" s="63" t="s">
        <v>20</v>
      </c>
      <c r="B64" s="64"/>
      <c r="C64" s="64"/>
      <c r="D64" s="64"/>
      <c r="E64" s="64"/>
      <c r="F64" s="69"/>
      <c r="G64" s="448"/>
      <c r="H64" s="449"/>
      <c r="I64" s="452"/>
      <c r="J64" s="453"/>
      <c r="K64" s="452"/>
      <c r="L64" s="453"/>
      <c r="M64" s="452"/>
      <c r="N64" s="453"/>
      <c r="O64" s="452"/>
      <c r="P64" s="453"/>
      <c r="Q64" s="452"/>
      <c r="R64" s="453"/>
      <c r="S64" s="452"/>
      <c r="T64" s="453"/>
      <c r="U64" s="452"/>
      <c r="V64" s="453"/>
    </row>
    <row r="65" spans="1:22" ht="10.5" customHeight="1" thickBot="1">
      <c r="A65" s="65" t="s">
        <v>21</v>
      </c>
      <c r="B65" s="66"/>
      <c r="C65" s="66"/>
      <c r="D65" s="66"/>
      <c r="E65" s="66"/>
      <c r="F65" s="71"/>
      <c r="G65" s="423">
        <f>SUM(G29:H59)</f>
        <v>0</v>
      </c>
      <c r="H65" s="423"/>
      <c r="I65" s="85"/>
      <c r="J65" s="84"/>
      <c r="K65" s="83"/>
      <c r="L65" s="83"/>
      <c r="M65" s="83"/>
      <c r="N65" s="83"/>
      <c r="O65" s="83"/>
      <c r="P65" s="83"/>
      <c r="Q65" s="83"/>
      <c r="R65" s="83"/>
      <c r="S65" s="86"/>
      <c r="T65" s="83"/>
      <c r="U65" s="83"/>
      <c r="V65" s="87"/>
    </row>
    <row r="66" spans="1:22" ht="10.5" customHeight="1">
      <c r="A66" s="76"/>
      <c r="B66" s="77"/>
      <c r="C66" s="77"/>
      <c r="D66" s="77"/>
      <c r="E66" s="77"/>
      <c r="F66" s="77"/>
      <c r="G66" s="77"/>
      <c r="H66" s="77"/>
      <c r="I66" s="77"/>
      <c r="J66" s="72" t="s">
        <v>22</v>
      </c>
      <c r="K66" s="73"/>
      <c r="L66" s="73"/>
      <c r="M66" s="73"/>
      <c r="N66" s="73"/>
      <c r="O66" s="73"/>
      <c r="P66" s="73"/>
      <c r="Q66" s="73"/>
      <c r="R66" s="73"/>
      <c r="S66" s="418" t="s">
        <v>163</v>
      </c>
      <c r="T66" s="419"/>
      <c r="U66" s="419"/>
      <c r="V66" s="420"/>
    </row>
    <row r="67" spans="1:22" ht="10.5" customHeight="1">
      <c r="A67" s="78" t="s">
        <v>23</v>
      </c>
      <c r="B67" s="79"/>
      <c r="C67" s="79"/>
      <c r="D67" s="79"/>
      <c r="E67" s="79"/>
      <c r="F67" s="79"/>
      <c r="G67" s="79"/>
      <c r="H67" s="79"/>
      <c r="I67" s="79"/>
      <c r="J67" s="424">
        <f>IF('MMR-Page1'!J65="","",'MMR-Page1'!J65)</f>
      </c>
      <c r="K67" s="425"/>
      <c r="L67" s="425"/>
      <c r="M67" s="425"/>
      <c r="N67" s="425"/>
      <c r="O67" s="425"/>
      <c r="P67" s="425"/>
      <c r="Q67" s="425"/>
      <c r="R67" s="426"/>
      <c r="S67" s="430">
        <f>IF('MMR-Page1'!S65="","",'MMR-Page1'!S65)</f>
      </c>
      <c r="T67" s="431"/>
      <c r="U67" s="431"/>
      <c r="V67" s="432"/>
    </row>
    <row r="68" spans="1:22" ht="10.5" customHeight="1">
      <c r="A68" s="80" t="s">
        <v>24</v>
      </c>
      <c r="B68" s="68"/>
      <c r="C68" s="68"/>
      <c r="D68" s="68"/>
      <c r="E68" s="68"/>
      <c r="F68" s="68"/>
      <c r="G68" s="68"/>
      <c r="H68" s="68"/>
      <c r="I68" s="68"/>
      <c r="J68" s="427"/>
      <c r="K68" s="428"/>
      <c r="L68" s="428"/>
      <c r="M68" s="428"/>
      <c r="N68" s="428"/>
      <c r="O68" s="428"/>
      <c r="P68" s="428"/>
      <c r="Q68" s="428"/>
      <c r="R68" s="429"/>
      <c r="S68" s="433"/>
      <c r="T68" s="434"/>
      <c r="U68" s="434"/>
      <c r="V68" s="435"/>
    </row>
    <row r="69" spans="1:22" ht="10.5" customHeight="1">
      <c r="A69" s="80" t="s">
        <v>25</v>
      </c>
      <c r="B69" s="68"/>
      <c r="C69" s="68"/>
      <c r="D69" s="68"/>
      <c r="E69" s="68"/>
      <c r="F69" s="68"/>
      <c r="G69" s="68"/>
      <c r="H69" s="68"/>
      <c r="I69" s="68"/>
      <c r="J69" s="390" t="s">
        <v>26</v>
      </c>
      <c r="K69" s="391"/>
      <c r="L69" s="391"/>
      <c r="M69" s="391"/>
      <c r="N69" s="391"/>
      <c r="O69" s="318"/>
      <c r="P69" s="319"/>
      <c r="Q69" s="396" t="s">
        <v>27</v>
      </c>
      <c r="R69" s="391"/>
      <c r="S69" s="391"/>
      <c r="T69" s="391"/>
      <c r="U69" s="391"/>
      <c r="V69" s="397"/>
    </row>
    <row r="70" spans="1:22" ht="10.5" customHeight="1">
      <c r="A70" s="80" t="s">
        <v>28</v>
      </c>
      <c r="B70" s="68"/>
      <c r="C70" s="68"/>
      <c r="D70" s="68"/>
      <c r="E70" s="68"/>
      <c r="F70" s="68"/>
      <c r="G70" s="68"/>
      <c r="H70" s="68"/>
      <c r="I70" s="68"/>
      <c r="J70" s="392"/>
      <c r="K70" s="393"/>
      <c r="L70" s="393"/>
      <c r="M70" s="393"/>
      <c r="N70" s="393"/>
      <c r="O70" s="394"/>
      <c r="P70" s="395"/>
      <c r="Q70" s="398"/>
      <c r="R70" s="393"/>
      <c r="S70" s="393"/>
      <c r="T70" s="393"/>
      <c r="U70" s="393"/>
      <c r="V70" s="399"/>
    </row>
    <row r="71" spans="1:22" ht="10.5" customHeight="1">
      <c r="A71" s="80" t="s">
        <v>29</v>
      </c>
      <c r="B71" s="68"/>
      <c r="C71" s="68"/>
      <c r="D71" s="68"/>
      <c r="E71" s="68"/>
      <c r="F71" s="68"/>
      <c r="G71" s="68"/>
      <c r="H71" s="68"/>
      <c r="I71" s="68"/>
      <c r="J71" s="424">
        <f>IF('MMR-Page1'!J69="","",'MMR-Page1'!J69)</f>
      </c>
      <c r="K71" s="436"/>
      <c r="L71" s="436"/>
      <c r="M71" s="436"/>
      <c r="N71" s="436"/>
      <c r="O71" s="436"/>
      <c r="P71" s="426"/>
      <c r="Q71" s="440">
        <f>IF('MMR-Page1'!Q69="","",'MMR-Page1'!Q69)</f>
      </c>
      <c r="R71" s="441"/>
      <c r="S71" s="441"/>
      <c r="T71" s="441"/>
      <c r="U71" s="441"/>
      <c r="V71" s="442"/>
    </row>
    <row r="72" spans="1:22" ht="10.5" customHeight="1" thickBot="1">
      <c r="A72" s="80" t="s">
        <v>30</v>
      </c>
      <c r="B72" s="68"/>
      <c r="C72" s="68"/>
      <c r="D72" s="68"/>
      <c r="E72" s="68"/>
      <c r="F72" s="68"/>
      <c r="G72" s="68"/>
      <c r="H72" s="68"/>
      <c r="I72" s="68"/>
      <c r="J72" s="437"/>
      <c r="K72" s="438"/>
      <c r="L72" s="438"/>
      <c r="M72" s="438"/>
      <c r="N72" s="438"/>
      <c r="O72" s="438"/>
      <c r="P72" s="439"/>
      <c r="Q72" s="443"/>
      <c r="R72" s="444"/>
      <c r="S72" s="444"/>
      <c r="T72" s="444"/>
      <c r="U72" s="444"/>
      <c r="V72" s="445"/>
    </row>
    <row r="73" spans="1:22" ht="10.5" customHeight="1">
      <c r="A73" s="80" t="s">
        <v>31</v>
      </c>
      <c r="B73" s="68"/>
      <c r="C73" s="68"/>
      <c r="D73" s="68"/>
      <c r="E73" s="68"/>
      <c r="F73" s="68"/>
      <c r="G73" s="68"/>
      <c r="H73" s="68"/>
      <c r="I73" s="68"/>
      <c r="J73" s="72" t="s">
        <v>32</v>
      </c>
      <c r="K73" s="73"/>
      <c r="L73" s="73"/>
      <c r="M73" s="73"/>
      <c r="N73" s="73"/>
      <c r="O73" s="73"/>
      <c r="P73" s="73"/>
      <c r="Q73" s="73"/>
      <c r="R73" s="73"/>
      <c r="S73" s="412" t="s">
        <v>164</v>
      </c>
      <c r="T73" s="413"/>
      <c r="U73" s="413"/>
      <c r="V73" s="414"/>
    </row>
    <row r="74" spans="1:22" ht="10.5" customHeight="1">
      <c r="A74" s="80" t="s">
        <v>33</v>
      </c>
      <c r="B74" s="68"/>
      <c r="C74" s="68"/>
      <c r="D74" s="68"/>
      <c r="E74" s="68"/>
      <c r="F74" s="68"/>
      <c r="G74" s="68"/>
      <c r="H74" s="68"/>
      <c r="I74" s="68"/>
      <c r="J74" s="74" t="s">
        <v>34</v>
      </c>
      <c r="K74" s="75"/>
      <c r="L74" s="75"/>
      <c r="M74" s="75"/>
      <c r="N74" s="75"/>
      <c r="O74" s="75"/>
      <c r="P74" s="75"/>
      <c r="Q74" s="75"/>
      <c r="R74" s="75"/>
      <c r="S74" s="415"/>
      <c r="T74" s="416"/>
      <c r="U74" s="416"/>
      <c r="V74" s="417"/>
    </row>
    <row r="75" spans="1:22" ht="10.5" customHeight="1">
      <c r="A75" s="80" t="s">
        <v>35</v>
      </c>
      <c r="B75" s="68"/>
      <c r="C75" s="68"/>
      <c r="D75" s="68"/>
      <c r="E75" s="68"/>
      <c r="F75" s="68"/>
      <c r="G75" s="68"/>
      <c r="H75" s="68"/>
      <c r="I75" s="68"/>
      <c r="J75" s="368"/>
      <c r="K75" s="369"/>
      <c r="L75" s="369"/>
      <c r="M75" s="369"/>
      <c r="N75" s="369"/>
      <c r="O75" s="369"/>
      <c r="P75" s="369"/>
      <c r="Q75" s="369"/>
      <c r="R75" s="370"/>
      <c r="S75" s="374"/>
      <c r="T75" s="369"/>
      <c r="U75" s="369"/>
      <c r="V75" s="375"/>
    </row>
    <row r="76" spans="1:22" ht="10.5" customHeight="1" thickBot="1">
      <c r="A76" s="81" t="s">
        <v>36</v>
      </c>
      <c r="B76" s="82"/>
      <c r="C76" s="82"/>
      <c r="D76" s="82"/>
      <c r="E76" s="82"/>
      <c r="F76" s="82"/>
      <c r="G76" s="82"/>
      <c r="H76" s="82"/>
      <c r="I76" s="82"/>
      <c r="J76" s="371"/>
      <c r="K76" s="372"/>
      <c r="L76" s="372"/>
      <c r="M76" s="372"/>
      <c r="N76" s="372"/>
      <c r="O76" s="372"/>
      <c r="P76" s="372"/>
      <c r="Q76" s="372"/>
      <c r="R76" s="373"/>
      <c r="S76" s="376"/>
      <c r="T76" s="372"/>
      <c r="U76" s="372"/>
      <c r="V76" s="377"/>
    </row>
    <row r="77" spans="1:22" ht="10.5" customHeight="1">
      <c r="A77" s="1"/>
      <c r="B77" s="1"/>
      <c r="C77" s="1"/>
      <c r="D77" s="1"/>
      <c r="E77" s="1"/>
      <c r="F77" s="1"/>
      <c r="G77" s="1"/>
      <c r="H77" s="1"/>
      <c r="I77" s="1"/>
      <c r="J77" s="378" t="s">
        <v>38</v>
      </c>
      <c r="K77" s="378"/>
      <c r="L77" s="23">
        <v>4</v>
      </c>
      <c r="M77" s="1"/>
      <c r="N77" s="1"/>
      <c r="O77" s="1"/>
      <c r="P77" s="1"/>
      <c r="Q77" s="1"/>
      <c r="R77" s="1"/>
      <c r="S77" s="1"/>
      <c r="T77" s="1"/>
      <c r="U77" s="1"/>
      <c r="V77" s="1"/>
    </row>
    <row r="78" spans="1:22" ht="10.5" customHeight="1">
      <c r="A78" s="24"/>
      <c r="B78" s="24"/>
      <c r="C78" s="24"/>
      <c r="D78" s="24"/>
      <c r="E78" s="24"/>
      <c r="F78" s="24"/>
      <c r="G78" s="24"/>
      <c r="H78" s="24"/>
      <c r="I78" s="24"/>
      <c r="J78" s="24"/>
      <c r="K78" s="24"/>
      <c r="L78" s="24"/>
      <c r="M78" s="24"/>
      <c r="N78" s="24"/>
      <c r="O78" s="24"/>
      <c r="P78" s="24"/>
      <c r="Q78" s="24"/>
      <c r="R78" s="24"/>
      <c r="S78" s="24"/>
      <c r="T78" s="24"/>
      <c r="U78" s="24"/>
      <c r="V78" s="24"/>
    </row>
  </sheetData>
  <sheetProtection selectLockedCells="1"/>
  <mergeCells count="403">
    <mergeCell ref="S73:V74"/>
    <mergeCell ref="S66:V66"/>
    <mergeCell ref="S26:T26"/>
    <mergeCell ref="U26:V26"/>
    <mergeCell ref="G26:H26"/>
    <mergeCell ref="I26:J26"/>
    <mergeCell ref="K26:L26"/>
    <mergeCell ref="M26:N26"/>
    <mergeCell ref="O26:P26"/>
    <mergeCell ref="Q26:R26"/>
    <mergeCell ref="S27:T27"/>
    <mergeCell ref="U27:V27"/>
    <mergeCell ref="G27:H27"/>
    <mergeCell ref="I27:J27"/>
    <mergeCell ref="K27:L27"/>
    <mergeCell ref="M27:N27"/>
    <mergeCell ref="O27:P27"/>
    <mergeCell ref="Q27:R27"/>
    <mergeCell ref="S17:T17"/>
    <mergeCell ref="U17:V17"/>
    <mergeCell ref="D5:L5"/>
    <mergeCell ref="D6:L6"/>
    <mergeCell ref="D7:L7"/>
    <mergeCell ref="D8:L8"/>
    <mergeCell ref="D9:L9"/>
    <mergeCell ref="D10:L10"/>
    <mergeCell ref="D11:L11"/>
    <mergeCell ref="N11:P11"/>
    <mergeCell ref="Q11:V11"/>
    <mergeCell ref="A14:I14"/>
    <mergeCell ref="K14:N14"/>
    <mergeCell ref="P14:Q14"/>
    <mergeCell ref="R14:S14"/>
    <mergeCell ref="S15:U15"/>
    <mergeCell ref="G17:H17"/>
    <mergeCell ref="I17:J17"/>
    <mergeCell ref="K17:L17"/>
    <mergeCell ref="M17:N17"/>
    <mergeCell ref="O17:P17"/>
    <mergeCell ref="Q17:R17"/>
    <mergeCell ref="S19:T19"/>
    <mergeCell ref="U19:V19"/>
    <mergeCell ref="G18:H18"/>
    <mergeCell ref="I18:J18"/>
    <mergeCell ref="K18:L18"/>
    <mergeCell ref="M18:N18"/>
    <mergeCell ref="O18:P18"/>
    <mergeCell ref="Q18:R18"/>
    <mergeCell ref="S21:T21"/>
    <mergeCell ref="U21:V21"/>
    <mergeCell ref="S18:T18"/>
    <mergeCell ref="U18:V18"/>
    <mergeCell ref="G19:H19"/>
    <mergeCell ref="I19:J19"/>
    <mergeCell ref="K19:L19"/>
    <mergeCell ref="M19:N19"/>
    <mergeCell ref="O19:P19"/>
    <mergeCell ref="Q19:R19"/>
    <mergeCell ref="G21:H21"/>
    <mergeCell ref="I21:J21"/>
    <mergeCell ref="K21:L21"/>
    <mergeCell ref="M21:N21"/>
    <mergeCell ref="O21:P21"/>
    <mergeCell ref="Q21:R21"/>
    <mergeCell ref="G22:H22"/>
    <mergeCell ref="I22:J22"/>
    <mergeCell ref="K22:L22"/>
    <mergeCell ref="M22:N22"/>
    <mergeCell ref="O22:P22"/>
    <mergeCell ref="Q22:R22"/>
    <mergeCell ref="S22:T22"/>
    <mergeCell ref="U22:V22"/>
    <mergeCell ref="G23:H23"/>
    <mergeCell ref="I23:J23"/>
    <mergeCell ref="K23:L23"/>
    <mergeCell ref="M23:N23"/>
    <mergeCell ref="O23:P23"/>
    <mergeCell ref="Q23:R23"/>
    <mergeCell ref="S23:T23"/>
    <mergeCell ref="U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E28:F28"/>
    <mergeCell ref="G28:H28"/>
    <mergeCell ref="K28:L28"/>
    <mergeCell ref="M28:N28"/>
    <mergeCell ref="O28:P28"/>
    <mergeCell ref="Q28:R28"/>
    <mergeCell ref="S28:T28"/>
    <mergeCell ref="U28:V28"/>
    <mergeCell ref="G29:H29"/>
    <mergeCell ref="K29:L29"/>
    <mergeCell ref="M29:N29"/>
    <mergeCell ref="O29:P29"/>
    <mergeCell ref="Q29:R29"/>
    <mergeCell ref="S29:T29"/>
    <mergeCell ref="U29:V29"/>
    <mergeCell ref="G30:H30"/>
    <mergeCell ref="K30:L30"/>
    <mergeCell ref="M30:N30"/>
    <mergeCell ref="O30:P30"/>
    <mergeCell ref="Q30:R30"/>
    <mergeCell ref="S30:T30"/>
    <mergeCell ref="G31:H31"/>
    <mergeCell ref="K31:L31"/>
    <mergeCell ref="M31:N31"/>
    <mergeCell ref="O31:P31"/>
    <mergeCell ref="Q31:R31"/>
    <mergeCell ref="S31:T31"/>
    <mergeCell ref="K32:L32"/>
    <mergeCell ref="M32:N32"/>
    <mergeCell ref="O32:P32"/>
    <mergeCell ref="Q32:R32"/>
    <mergeCell ref="S32:T32"/>
    <mergeCell ref="U30:V30"/>
    <mergeCell ref="U31:V31"/>
    <mergeCell ref="S34:T34"/>
    <mergeCell ref="U32:V32"/>
    <mergeCell ref="G33:H33"/>
    <mergeCell ref="K33:L33"/>
    <mergeCell ref="M33:N33"/>
    <mergeCell ref="O33:P33"/>
    <mergeCell ref="Q33:R33"/>
    <mergeCell ref="S33:T33"/>
    <mergeCell ref="U33:V33"/>
    <mergeCell ref="G32:H32"/>
    <mergeCell ref="I35:J35"/>
    <mergeCell ref="G34:H34"/>
    <mergeCell ref="K34:L34"/>
    <mergeCell ref="M34:N34"/>
    <mergeCell ref="O34:P34"/>
    <mergeCell ref="Q34:R34"/>
    <mergeCell ref="S36:T36"/>
    <mergeCell ref="U34:V34"/>
    <mergeCell ref="G35:H35"/>
    <mergeCell ref="K35:L35"/>
    <mergeCell ref="M35:N35"/>
    <mergeCell ref="O35:P35"/>
    <mergeCell ref="Q35:R35"/>
    <mergeCell ref="S35:T35"/>
    <mergeCell ref="U35:V35"/>
    <mergeCell ref="I34:J34"/>
    <mergeCell ref="I37:J37"/>
    <mergeCell ref="G36:H36"/>
    <mergeCell ref="K36:L36"/>
    <mergeCell ref="M36:N36"/>
    <mergeCell ref="O36:P36"/>
    <mergeCell ref="Q36:R36"/>
    <mergeCell ref="S38:T38"/>
    <mergeCell ref="U36:V36"/>
    <mergeCell ref="G37:H37"/>
    <mergeCell ref="K37:L37"/>
    <mergeCell ref="M37:N37"/>
    <mergeCell ref="O37:P37"/>
    <mergeCell ref="Q37:R37"/>
    <mergeCell ref="S37:T37"/>
    <mergeCell ref="U37:V37"/>
    <mergeCell ref="I36:J36"/>
    <mergeCell ref="I39:J39"/>
    <mergeCell ref="G38:H38"/>
    <mergeCell ref="K38:L38"/>
    <mergeCell ref="M38:N38"/>
    <mergeCell ref="O38:P38"/>
    <mergeCell ref="Q38:R38"/>
    <mergeCell ref="S40:T40"/>
    <mergeCell ref="U38:V38"/>
    <mergeCell ref="G39:H39"/>
    <mergeCell ref="K39:L39"/>
    <mergeCell ref="M39:N39"/>
    <mergeCell ref="O39:P39"/>
    <mergeCell ref="Q39:R39"/>
    <mergeCell ref="S39:T39"/>
    <mergeCell ref="U39:V39"/>
    <mergeCell ref="I38:J38"/>
    <mergeCell ref="I41:J41"/>
    <mergeCell ref="G40:H40"/>
    <mergeCell ref="K40:L40"/>
    <mergeCell ref="M40:N40"/>
    <mergeCell ref="O40:P40"/>
    <mergeCell ref="Q40:R40"/>
    <mergeCell ref="S42:T42"/>
    <mergeCell ref="U40:V40"/>
    <mergeCell ref="G41:H41"/>
    <mergeCell ref="K41:L41"/>
    <mergeCell ref="M41:N41"/>
    <mergeCell ref="O41:P41"/>
    <mergeCell ref="Q41:R41"/>
    <mergeCell ref="S41:T41"/>
    <mergeCell ref="U41:V41"/>
    <mergeCell ref="I40:J40"/>
    <mergeCell ref="I43:J43"/>
    <mergeCell ref="G42:H42"/>
    <mergeCell ref="K42:L42"/>
    <mergeCell ref="M42:N42"/>
    <mergeCell ref="O42:P42"/>
    <mergeCell ref="Q42:R42"/>
    <mergeCell ref="S44:T44"/>
    <mergeCell ref="U42:V42"/>
    <mergeCell ref="G43:H43"/>
    <mergeCell ref="K43:L43"/>
    <mergeCell ref="M43:N43"/>
    <mergeCell ref="O43:P43"/>
    <mergeCell ref="Q43:R43"/>
    <mergeCell ref="S43:T43"/>
    <mergeCell ref="U43:V43"/>
    <mergeCell ref="I42:J42"/>
    <mergeCell ref="I45:J45"/>
    <mergeCell ref="G44:H44"/>
    <mergeCell ref="K44:L44"/>
    <mergeCell ref="M44:N44"/>
    <mergeCell ref="O44:P44"/>
    <mergeCell ref="Q44:R44"/>
    <mergeCell ref="S46:T46"/>
    <mergeCell ref="U44:V44"/>
    <mergeCell ref="G45:H45"/>
    <mergeCell ref="K45:L45"/>
    <mergeCell ref="M45:N45"/>
    <mergeCell ref="O45:P45"/>
    <mergeCell ref="Q45:R45"/>
    <mergeCell ref="S45:T45"/>
    <mergeCell ref="U45:V45"/>
    <mergeCell ref="I44:J44"/>
    <mergeCell ref="I47:J47"/>
    <mergeCell ref="G46:H46"/>
    <mergeCell ref="K46:L46"/>
    <mergeCell ref="M46:N46"/>
    <mergeCell ref="O46:P46"/>
    <mergeCell ref="Q46:R46"/>
    <mergeCell ref="S48:T48"/>
    <mergeCell ref="U46:V46"/>
    <mergeCell ref="G47:H47"/>
    <mergeCell ref="K47:L47"/>
    <mergeCell ref="M47:N47"/>
    <mergeCell ref="O47:P47"/>
    <mergeCell ref="Q47:R47"/>
    <mergeCell ref="S47:T47"/>
    <mergeCell ref="U47:V47"/>
    <mergeCell ref="I46:J46"/>
    <mergeCell ref="I49:J49"/>
    <mergeCell ref="G48:H48"/>
    <mergeCell ref="K48:L48"/>
    <mergeCell ref="M48:N48"/>
    <mergeCell ref="O48:P48"/>
    <mergeCell ref="Q48:R48"/>
    <mergeCell ref="S50:T50"/>
    <mergeCell ref="U48:V48"/>
    <mergeCell ref="G49:H49"/>
    <mergeCell ref="K49:L49"/>
    <mergeCell ref="M49:N49"/>
    <mergeCell ref="O49:P49"/>
    <mergeCell ref="Q49:R49"/>
    <mergeCell ref="S49:T49"/>
    <mergeCell ref="U49:V49"/>
    <mergeCell ref="I48:J48"/>
    <mergeCell ref="I51:J51"/>
    <mergeCell ref="G50:H50"/>
    <mergeCell ref="K50:L50"/>
    <mergeCell ref="M50:N50"/>
    <mergeCell ref="O50:P50"/>
    <mergeCell ref="Q50:R50"/>
    <mergeCell ref="S52:T52"/>
    <mergeCell ref="U50:V50"/>
    <mergeCell ref="G51:H51"/>
    <mergeCell ref="K51:L51"/>
    <mergeCell ref="M51:N51"/>
    <mergeCell ref="O51:P51"/>
    <mergeCell ref="Q51:R51"/>
    <mergeCell ref="S51:T51"/>
    <mergeCell ref="U51:V51"/>
    <mergeCell ref="I50:J50"/>
    <mergeCell ref="I53:J53"/>
    <mergeCell ref="G52:H52"/>
    <mergeCell ref="K52:L52"/>
    <mergeCell ref="M52:N52"/>
    <mergeCell ref="O52:P52"/>
    <mergeCell ref="Q52:R52"/>
    <mergeCell ref="S54:T54"/>
    <mergeCell ref="U52:V52"/>
    <mergeCell ref="G53:H53"/>
    <mergeCell ref="K53:L53"/>
    <mergeCell ref="M53:N53"/>
    <mergeCell ref="O53:P53"/>
    <mergeCell ref="Q53:R53"/>
    <mergeCell ref="S53:T53"/>
    <mergeCell ref="U53:V53"/>
    <mergeCell ref="I52:J52"/>
    <mergeCell ref="I55:J55"/>
    <mergeCell ref="G54:H54"/>
    <mergeCell ref="K54:L54"/>
    <mergeCell ref="M54:N54"/>
    <mergeCell ref="O54:P54"/>
    <mergeCell ref="Q54:R54"/>
    <mergeCell ref="S56:T56"/>
    <mergeCell ref="U54:V54"/>
    <mergeCell ref="G55:H55"/>
    <mergeCell ref="K55:L55"/>
    <mergeCell ref="M55:N55"/>
    <mergeCell ref="O55:P55"/>
    <mergeCell ref="Q55:R55"/>
    <mergeCell ref="S55:T55"/>
    <mergeCell ref="U55:V55"/>
    <mergeCell ref="I54:J54"/>
    <mergeCell ref="I57:J57"/>
    <mergeCell ref="G56:H56"/>
    <mergeCell ref="K56:L56"/>
    <mergeCell ref="M56:N56"/>
    <mergeCell ref="O56:P56"/>
    <mergeCell ref="Q56:R56"/>
    <mergeCell ref="S58:T58"/>
    <mergeCell ref="U56:V56"/>
    <mergeCell ref="G57:H57"/>
    <mergeCell ref="K57:L57"/>
    <mergeCell ref="M57:N57"/>
    <mergeCell ref="O57:P57"/>
    <mergeCell ref="Q57:R57"/>
    <mergeCell ref="S57:T57"/>
    <mergeCell ref="U57:V57"/>
    <mergeCell ref="I56:J56"/>
    <mergeCell ref="I59:J59"/>
    <mergeCell ref="G58:H58"/>
    <mergeCell ref="K58:L58"/>
    <mergeCell ref="M58:N58"/>
    <mergeCell ref="O58:P58"/>
    <mergeCell ref="Q58:R58"/>
    <mergeCell ref="Q60:R60"/>
    <mergeCell ref="U58:V58"/>
    <mergeCell ref="G59:H59"/>
    <mergeCell ref="K59:L59"/>
    <mergeCell ref="M59:N59"/>
    <mergeCell ref="O59:P59"/>
    <mergeCell ref="Q59:R59"/>
    <mergeCell ref="S59:T59"/>
    <mergeCell ref="U59:V59"/>
    <mergeCell ref="I58:J58"/>
    <mergeCell ref="U60:V60"/>
    <mergeCell ref="G61:H61"/>
    <mergeCell ref="I61:J61"/>
    <mergeCell ref="K61:L61"/>
    <mergeCell ref="M61:N61"/>
    <mergeCell ref="O61:P61"/>
    <mergeCell ref="Q61:R61"/>
    <mergeCell ref="S61:T61"/>
    <mergeCell ref="U61:V61"/>
    <mergeCell ref="G60:H60"/>
    <mergeCell ref="I62:J62"/>
    <mergeCell ref="K62:L62"/>
    <mergeCell ref="M62:N62"/>
    <mergeCell ref="O62:P62"/>
    <mergeCell ref="Q62:R62"/>
    <mergeCell ref="S60:T60"/>
    <mergeCell ref="I60:J60"/>
    <mergeCell ref="K60:L60"/>
    <mergeCell ref="M60:N60"/>
    <mergeCell ref="O60:P60"/>
    <mergeCell ref="U62:V62"/>
    <mergeCell ref="G63:H64"/>
    <mergeCell ref="I63:J64"/>
    <mergeCell ref="K63:L64"/>
    <mergeCell ref="M63:N64"/>
    <mergeCell ref="O63:P64"/>
    <mergeCell ref="Q63:R64"/>
    <mergeCell ref="S63:T64"/>
    <mergeCell ref="U63:V64"/>
    <mergeCell ref="G62:H62"/>
    <mergeCell ref="G65:H65"/>
    <mergeCell ref="J67:R68"/>
    <mergeCell ref="S67:V68"/>
    <mergeCell ref="J69:P70"/>
    <mergeCell ref="Q69:V70"/>
    <mergeCell ref="J71:P72"/>
    <mergeCell ref="Q71:V72"/>
    <mergeCell ref="J75:R76"/>
    <mergeCell ref="S75:V76"/>
    <mergeCell ref="J77:K77"/>
    <mergeCell ref="I28:J28"/>
    <mergeCell ref="I29:J29"/>
    <mergeCell ref="I30:J30"/>
    <mergeCell ref="I31:J31"/>
    <mergeCell ref="I32:J32"/>
    <mergeCell ref="I33:J33"/>
    <mergeCell ref="S62:T62"/>
    <mergeCell ref="S20:T20"/>
    <mergeCell ref="U20:V20"/>
    <mergeCell ref="G20:H20"/>
    <mergeCell ref="I20:J20"/>
    <mergeCell ref="K20:L20"/>
    <mergeCell ref="M20:N20"/>
    <mergeCell ref="O20:P20"/>
    <mergeCell ref="Q20:R20"/>
  </mergeCells>
  <dataValidations count="1">
    <dataValidation type="list" allowBlank="1" showInputMessage="1" showErrorMessage="1" sqref="I17:V17">
      <formula1>ParameterList</formula1>
    </dataValidation>
  </dataValidations>
  <printOptions/>
  <pageMargins left="0.7" right="0.7" top="0.75" bottom="0.75" header="0.3" footer="0.3"/>
  <pageSetup fitToHeight="1" fitToWidth="1" horizontalDpi="600" verticalDpi="600" orientation="portrait"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80"/>
  <sheetViews>
    <sheetView zoomScale="160" zoomScaleNormal="160" zoomScalePageLayoutView="0" workbookViewId="0" topLeftCell="A1">
      <selection activeCell="D3" sqref="D3"/>
    </sheetView>
  </sheetViews>
  <sheetFormatPr defaultColWidth="9.140625" defaultRowHeight="15"/>
  <cols>
    <col min="1" max="17" width="4.7109375" style="0" customWidth="1"/>
    <col min="18" max="18" width="5.140625" style="0" customWidth="1"/>
    <col min="19" max="19" width="4.7109375" style="0" customWidth="1"/>
    <col min="20" max="20" width="5.57421875" style="0" customWidth="1"/>
    <col min="21" max="22" width="4.7109375" style="0" customWidth="1"/>
  </cols>
  <sheetData>
    <row r="1" spans="1:22" s="201" customFormat="1" ht="15">
      <c r="A1" s="199"/>
      <c r="B1" s="200"/>
      <c r="C1" s="200"/>
      <c r="E1" s="200"/>
      <c r="F1" s="200"/>
      <c r="G1" s="200"/>
      <c r="H1" s="200"/>
      <c r="I1" s="200"/>
      <c r="J1" s="200"/>
      <c r="K1" s="200"/>
      <c r="L1" s="200"/>
      <c r="M1" s="200"/>
      <c r="N1" s="200"/>
      <c r="O1" s="200"/>
      <c r="P1" s="200"/>
      <c r="Q1" s="200"/>
      <c r="R1" s="200"/>
      <c r="S1" s="200"/>
      <c r="T1" s="200"/>
      <c r="U1" s="200"/>
      <c r="V1" s="200"/>
    </row>
    <row r="2" spans="1:22" s="201" customFormat="1" ht="15">
      <c r="A2" s="199"/>
      <c r="B2" s="202"/>
      <c r="C2" s="202"/>
      <c r="D2" s="203" t="s">
        <v>41</v>
      </c>
      <c r="E2" s="202"/>
      <c r="F2" s="202"/>
      <c r="G2" s="202"/>
      <c r="H2" s="202"/>
      <c r="I2" s="202"/>
      <c r="J2" s="202"/>
      <c r="K2" s="202"/>
      <c r="L2" s="202"/>
      <c r="M2" s="202"/>
      <c r="N2" s="202"/>
      <c r="O2" s="202"/>
      <c r="P2" s="202"/>
      <c r="Q2" s="202"/>
      <c r="R2" s="202"/>
      <c r="S2" s="202"/>
      <c r="T2" s="202"/>
      <c r="U2" s="202"/>
      <c r="V2" s="202"/>
    </row>
    <row r="3" spans="1:22" s="201" customFormat="1" ht="15">
      <c r="A3" s="199"/>
      <c r="B3" s="204"/>
      <c r="C3" s="204"/>
      <c r="D3" s="205" t="s">
        <v>176</v>
      </c>
      <c r="E3" s="204"/>
      <c r="F3" s="204"/>
      <c r="G3" s="204"/>
      <c r="H3" s="204"/>
      <c r="I3" s="204"/>
      <c r="J3" s="204"/>
      <c r="K3" s="204"/>
      <c r="L3" s="204"/>
      <c r="M3" s="204"/>
      <c r="N3" s="204"/>
      <c r="O3" s="204"/>
      <c r="P3" s="204"/>
      <c r="Q3" s="204"/>
      <c r="R3" s="204"/>
      <c r="S3" s="204"/>
      <c r="T3" s="204"/>
      <c r="U3" s="204"/>
      <c r="V3" s="204"/>
    </row>
    <row r="4" spans="1:22" s="201" customFormat="1" ht="10.5" customHeight="1">
      <c r="A4" s="206" t="s">
        <v>0</v>
      </c>
      <c r="B4" s="206"/>
      <c r="C4" s="206"/>
      <c r="D4" s="207" t="s">
        <v>1</v>
      </c>
      <c r="E4" s="208"/>
      <c r="F4" s="208"/>
      <c r="G4" s="208"/>
      <c r="H4" s="208"/>
      <c r="I4" s="208"/>
      <c r="J4" s="208"/>
      <c r="K4" s="208"/>
      <c r="L4" s="209"/>
      <c r="M4" s="206"/>
      <c r="N4" s="281" t="s">
        <v>166</v>
      </c>
      <c r="O4" s="282"/>
      <c r="P4" s="282"/>
      <c r="Q4" s="282"/>
      <c r="R4" s="282"/>
      <c r="S4" s="282"/>
      <c r="T4" s="282"/>
      <c r="U4" s="282"/>
      <c r="V4" s="282"/>
    </row>
    <row r="5" spans="1:24" s="201" customFormat="1" ht="10.5" customHeight="1">
      <c r="A5" s="206"/>
      <c r="B5" s="11"/>
      <c r="C5" s="11"/>
      <c r="D5" s="470">
        <f>IF('MMR-Page1'!D5="","",'MMR-Page1'!D5)</f>
      </c>
      <c r="E5" s="471"/>
      <c r="F5" s="471"/>
      <c r="G5" s="471"/>
      <c r="H5" s="471"/>
      <c r="I5" s="471"/>
      <c r="J5" s="471"/>
      <c r="K5" s="471"/>
      <c r="L5" s="472"/>
      <c r="M5" s="206"/>
      <c r="N5" s="281" t="s">
        <v>168</v>
      </c>
      <c r="O5" s="282"/>
      <c r="P5" s="282"/>
      <c r="Q5" s="282"/>
      <c r="R5" s="282"/>
      <c r="S5" s="282"/>
      <c r="T5" s="282"/>
      <c r="U5" s="282"/>
      <c r="V5" s="282"/>
      <c r="X5" s="283"/>
    </row>
    <row r="6" spans="1:24" s="201" customFormat="1" ht="10.5" customHeight="1">
      <c r="A6" s="206"/>
      <c r="B6" s="11"/>
      <c r="C6" s="11"/>
      <c r="D6" s="473">
        <f>IF('MMR-Page1'!D6="","",'MMR-Page1'!D6)</f>
      </c>
      <c r="E6" s="474"/>
      <c r="F6" s="474"/>
      <c r="G6" s="474"/>
      <c r="H6" s="474"/>
      <c r="I6" s="474"/>
      <c r="J6" s="474"/>
      <c r="K6" s="474"/>
      <c r="L6" s="475"/>
      <c r="M6" s="206"/>
      <c r="N6" s="281" t="s">
        <v>169</v>
      </c>
      <c r="O6" s="282"/>
      <c r="P6" s="282"/>
      <c r="Q6" s="282"/>
      <c r="R6" s="282"/>
      <c r="S6" s="282"/>
      <c r="T6" s="282"/>
      <c r="U6" s="282"/>
      <c r="V6" s="282"/>
      <c r="X6" s="284"/>
    </row>
    <row r="7" spans="1:22" s="201" customFormat="1" ht="10.5" customHeight="1">
      <c r="A7" s="206"/>
      <c r="B7" s="11"/>
      <c r="C7" s="11"/>
      <c r="D7" s="473">
        <f>IF('MMR-Page1'!D7="","",'MMR-Page1'!D7)</f>
      </c>
      <c r="E7" s="474"/>
      <c r="F7" s="474"/>
      <c r="G7" s="474"/>
      <c r="H7" s="474"/>
      <c r="I7" s="474"/>
      <c r="J7" s="474"/>
      <c r="K7" s="474"/>
      <c r="L7" s="475"/>
      <c r="M7" s="206"/>
      <c r="N7" s="281" t="s">
        <v>170</v>
      </c>
      <c r="O7" s="282"/>
      <c r="P7" s="282"/>
      <c r="Q7" s="282"/>
      <c r="R7" s="282"/>
      <c r="S7" s="282"/>
      <c r="T7" s="282"/>
      <c r="U7" s="282"/>
      <c r="V7" s="282"/>
    </row>
    <row r="8" spans="1:22" s="201" customFormat="1" ht="10.5" customHeight="1">
      <c r="A8" s="206"/>
      <c r="B8" s="11"/>
      <c r="C8" s="11"/>
      <c r="D8" s="473">
        <f>IF('MMR-Page1'!D8="","",'MMR-Page1'!D8)</f>
      </c>
      <c r="E8" s="474"/>
      <c r="F8" s="474"/>
      <c r="G8" s="474"/>
      <c r="H8" s="474"/>
      <c r="I8" s="474"/>
      <c r="J8" s="474"/>
      <c r="K8" s="474"/>
      <c r="L8" s="475"/>
      <c r="M8" s="206"/>
      <c r="N8" s="281" t="s">
        <v>167</v>
      </c>
      <c r="O8" s="282"/>
      <c r="P8" s="282"/>
      <c r="Q8" s="282"/>
      <c r="R8" s="282"/>
      <c r="S8" s="282"/>
      <c r="T8" s="282"/>
      <c r="U8" s="282"/>
      <c r="V8" s="282"/>
    </row>
    <row r="9" spans="1:22" s="201" customFormat="1" ht="10.5" customHeight="1">
      <c r="A9" s="206"/>
      <c r="B9" s="11"/>
      <c r="C9" s="11"/>
      <c r="D9" s="473">
        <f>IF('MMR-Page1'!D9="","",'MMR-Page1'!D9)</f>
      </c>
      <c r="E9" s="474"/>
      <c r="F9" s="474"/>
      <c r="G9" s="474"/>
      <c r="H9" s="474"/>
      <c r="I9" s="474"/>
      <c r="J9" s="474"/>
      <c r="K9" s="474"/>
      <c r="L9" s="475"/>
      <c r="M9" s="206"/>
      <c r="N9" s="281" t="s">
        <v>172</v>
      </c>
      <c r="O9" s="282"/>
      <c r="P9" s="282"/>
      <c r="Q9" s="282"/>
      <c r="R9" s="282"/>
      <c r="S9" s="282"/>
      <c r="T9" s="282"/>
      <c r="U9" s="282"/>
      <c r="V9" s="282"/>
    </row>
    <row r="10" spans="1:22" s="201" customFormat="1" ht="10.5" customHeight="1">
      <c r="A10" s="206"/>
      <c r="B10" s="11"/>
      <c r="C10" s="11"/>
      <c r="D10" s="473">
        <f>IF('MMR-Page1'!D10="","",'MMR-Page1'!D10)</f>
      </c>
      <c r="E10" s="474"/>
      <c r="F10" s="474"/>
      <c r="G10" s="474"/>
      <c r="H10" s="474"/>
      <c r="I10" s="474"/>
      <c r="J10" s="474"/>
      <c r="K10" s="474"/>
      <c r="L10" s="475"/>
      <c r="M10" s="206"/>
      <c r="N10" s="206"/>
      <c r="O10" s="206"/>
      <c r="P10" s="206"/>
      <c r="Q10" s="206"/>
      <c r="R10" s="206"/>
      <c r="S10" s="206"/>
      <c r="T10" s="206"/>
      <c r="U10" s="206"/>
      <c r="V10" s="206"/>
    </row>
    <row r="11" spans="1:22" s="201" customFormat="1" ht="10.5" customHeight="1">
      <c r="A11" s="206"/>
      <c r="B11" s="11"/>
      <c r="C11" s="11"/>
      <c r="D11" s="476">
        <f>IF('MMR-Page1'!D11="","",'MMR-Page1'!D11)</f>
      </c>
      <c r="E11" s="477"/>
      <c r="F11" s="477"/>
      <c r="G11" s="477"/>
      <c r="H11" s="477"/>
      <c r="I11" s="477"/>
      <c r="J11" s="477"/>
      <c r="K11" s="477"/>
      <c r="L11" s="478"/>
      <c r="M11" s="206"/>
      <c r="N11" s="479" t="s">
        <v>2</v>
      </c>
      <c r="O11" s="461"/>
      <c r="P11" s="461"/>
      <c r="Q11" s="461">
        <f>IF('MMR-Page1'!Q11="","",'MMR-Page1'!Q11)</f>
      </c>
      <c r="R11" s="462"/>
      <c r="S11" s="462"/>
      <c r="T11" s="462"/>
      <c r="U11" s="462"/>
      <c r="V11" s="463"/>
    </row>
    <row r="12" spans="1:22" s="201" customFormat="1" ht="10.5" customHeight="1">
      <c r="A12" s="206"/>
      <c r="B12" s="206"/>
      <c r="C12" s="206"/>
      <c r="D12" s="206"/>
      <c r="E12" s="206"/>
      <c r="F12" s="206"/>
      <c r="G12" s="206"/>
      <c r="H12" s="206"/>
      <c r="I12" s="206"/>
      <c r="J12" s="206"/>
      <c r="K12" s="206"/>
      <c r="L12" s="206"/>
      <c r="M12" s="206"/>
      <c r="N12" s="11"/>
      <c r="O12" s="11"/>
      <c r="P12" s="11"/>
      <c r="Q12" s="12"/>
      <c r="R12" s="12"/>
      <c r="S12" s="12"/>
      <c r="T12" s="12"/>
      <c r="U12" s="12"/>
      <c r="V12" s="12"/>
    </row>
    <row r="13" spans="1:22" s="201" customFormat="1" ht="10.5" customHeight="1">
      <c r="A13" s="211" t="s">
        <v>3</v>
      </c>
      <c r="B13" s="211" t="s">
        <v>4</v>
      </c>
      <c r="C13" s="212">
        <f>'MMR-Page1'!C13</f>
        <v>0</v>
      </c>
      <c r="D13" s="212">
        <f>'MMR-Page1'!D13</f>
        <v>0</v>
      </c>
      <c r="E13" s="212" t="str">
        <f>'MMR-Page1'!E13</f>
        <v>   </v>
      </c>
      <c r="F13" s="212">
        <f>'MMR-Page1'!F13</f>
        <v>0</v>
      </c>
      <c r="G13" s="212">
        <f>'MMR-Page1'!G13</f>
        <v>0</v>
      </c>
      <c r="H13" s="212">
        <f>'MMR-Page1'!H13</f>
        <v>0</v>
      </c>
      <c r="I13" s="212">
        <f>'MMR-Page1'!I13</f>
        <v>0</v>
      </c>
      <c r="J13" s="213"/>
      <c r="K13" s="212">
        <f>'MMR-Page1'!K13</f>
        <v>0</v>
      </c>
      <c r="L13" s="212">
        <f>'MMR-Page1'!L13</f>
        <v>0</v>
      </c>
      <c r="M13" s="212">
        <f>'MMR-Page1'!M13</f>
        <v>0</v>
      </c>
      <c r="N13" s="212" t="s">
        <v>74</v>
      </c>
      <c r="O13" s="213"/>
      <c r="P13" s="212">
        <f>'MMR-Page1'!P13</f>
        <v>0</v>
      </c>
      <c r="Q13" s="212">
        <f>'MMR-Page1'!Q13</f>
        <v>5</v>
      </c>
      <c r="R13" s="212">
        <f>'MMR-Page1'!R13</f>
        <v>1</v>
      </c>
      <c r="S13" s="212">
        <f>'MMR-Page1'!S13</f>
        <v>6</v>
      </c>
      <c r="T13" s="206"/>
      <c r="U13" s="206"/>
      <c r="V13" s="206"/>
    </row>
    <row r="14" spans="1:22" s="201" customFormat="1" ht="10.5" customHeight="1" thickBot="1">
      <c r="A14" s="464" t="s">
        <v>5</v>
      </c>
      <c r="B14" s="465"/>
      <c r="C14" s="465"/>
      <c r="D14" s="465"/>
      <c r="E14" s="465"/>
      <c r="F14" s="465"/>
      <c r="G14" s="465"/>
      <c r="H14" s="465"/>
      <c r="I14" s="466"/>
      <c r="J14" s="215"/>
      <c r="K14" s="464" t="s">
        <v>160</v>
      </c>
      <c r="L14" s="465"/>
      <c r="M14" s="465"/>
      <c r="N14" s="466"/>
      <c r="O14" s="215"/>
      <c r="P14" s="464" t="s">
        <v>161</v>
      </c>
      <c r="Q14" s="466"/>
      <c r="R14" s="464" t="s">
        <v>162</v>
      </c>
      <c r="S14" s="466"/>
      <c r="T14" s="215"/>
      <c r="U14" s="215"/>
      <c r="V14" s="215"/>
    </row>
    <row r="15" spans="1:22" ht="10.5" customHeight="1" thickBot="1">
      <c r="A15" s="5"/>
      <c r="B15" s="5"/>
      <c r="C15" s="5"/>
      <c r="D15" s="5"/>
      <c r="E15" s="5"/>
      <c r="F15" s="5"/>
      <c r="G15" s="5"/>
      <c r="H15" s="5"/>
      <c r="I15" s="5"/>
      <c r="J15" s="5"/>
      <c r="K15" s="5"/>
      <c r="L15" s="5"/>
      <c r="M15" s="5"/>
      <c r="N15" s="5"/>
      <c r="O15" s="5"/>
      <c r="P15" s="110"/>
      <c r="Q15" s="16"/>
      <c r="R15" s="17"/>
      <c r="S15" s="546" t="s">
        <v>6</v>
      </c>
      <c r="T15" s="547"/>
      <c r="U15" s="548"/>
      <c r="V15" s="126" t="str">
        <f>IF('MMR-Page1'!V15=TRUE,"Yes","No")</f>
        <v>No</v>
      </c>
    </row>
    <row r="16" spans="1:22" ht="10.5" customHeight="1" thickBot="1">
      <c r="A16" s="5"/>
      <c r="B16" s="5"/>
      <c r="C16" s="5"/>
      <c r="D16" s="5"/>
      <c r="E16" s="5"/>
      <c r="F16" s="5"/>
      <c r="G16" s="5"/>
      <c r="H16" s="5"/>
      <c r="I16" s="5"/>
      <c r="J16" s="5"/>
      <c r="K16" s="5"/>
      <c r="L16" s="5"/>
      <c r="M16" s="5"/>
      <c r="N16" s="5"/>
      <c r="O16" s="5"/>
      <c r="P16" s="111"/>
      <c r="Q16" s="16"/>
      <c r="R16" s="9" t="s">
        <v>7</v>
      </c>
      <c r="S16" s="9"/>
      <c r="T16" s="9"/>
      <c r="U16" s="29"/>
      <c r="V16" s="126" t="str">
        <f>IF('MMR-Page1'!V16=TRUE,"Yes","No")</f>
        <v>No</v>
      </c>
    </row>
    <row r="17" spans="1:24" ht="10.5" customHeight="1">
      <c r="A17" s="104"/>
      <c r="B17" s="112"/>
      <c r="C17" s="112"/>
      <c r="D17" s="112"/>
      <c r="E17" s="104"/>
      <c r="F17" s="113"/>
      <c r="G17" s="549" t="s">
        <v>63</v>
      </c>
      <c r="H17" s="488"/>
      <c r="I17" s="488"/>
      <c r="J17" s="488"/>
      <c r="K17" s="488"/>
      <c r="L17" s="488"/>
      <c r="M17" s="488"/>
      <c r="N17" s="488"/>
      <c r="O17" s="488"/>
      <c r="P17" s="488"/>
      <c r="Q17" s="488"/>
      <c r="R17" s="488"/>
      <c r="S17" s="488"/>
      <c r="T17" s="488"/>
      <c r="U17" s="488"/>
      <c r="V17" s="491"/>
      <c r="X17" s="25"/>
    </row>
    <row r="18" spans="1:24" ht="10.5" customHeight="1">
      <c r="A18" s="114"/>
      <c r="B18" s="79"/>
      <c r="C18" s="79"/>
      <c r="D18" s="79"/>
      <c r="E18" s="114"/>
      <c r="F18" s="115"/>
      <c r="G18" s="291"/>
      <c r="H18" s="292"/>
      <c r="I18" s="293"/>
      <c r="J18" s="292"/>
      <c r="K18" s="294"/>
      <c r="L18" s="295"/>
      <c r="M18" s="285"/>
      <c r="N18" s="286"/>
      <c r="O18" s="285"/>
      <c r="P18" s="286"/>
      <c r="Q18" s="285"/>
      <c r="R18" s="286"/>
      <c r="S18" s="285"/>
      <c r="T18" s="286"/>
      <c r="U18" s="285"/>
      <c r="V18" s="287"/>
      <c r="X18" s="35"/>
    </row>
    <row r="19" spans="1:22" ht="10.5" customHeight="1">
      <c r="A19" s="114"/>
      <c r="B19" s="79"/>
      <c r="C19" s="79"/>
      <c r="D19" s="79"/>
      <c r="E19" s="114"/>
      <c r="F19" s="115"/>
      <c r="G19" s="558" t="s">
        <v>72</v>
      </c>
      <c r="H19" s="559"/>
      <c r="I19" s="559"/>
      <c r="J19" s="560"/>
      <c r="K19" s="127"/>
      <c r="L19" s="103" t="s">
        <v>12</v>
      </c>
      <c r="M19" s="288"/>
      <c r="N19" s="288"/>
      <c r="O19" s="288"/>
      <c r="P19" s="288"/>
      <c r="Q19" s="288"/>
      <c r="R19" s="288"/>
      <c r="S19" s="288"/>
      <c r="T19" s="288"/>
      <c r="U19" s="288"/>
      <c r="V19" s="289"/>
    </row>
    <row r="20" spans="1:22" ht="10.5" customHeight="1">
      <c r="A20" s="114"/>
      <c r="B20" s="79"/>
      <c r="C20" s="79"/>
      <c r="D20" s="79"/>
      <c r="E20" s="114"/>
      <c r="F20" s="115"/>
      <c r="G20" s="558" t="s">
        <v>73</v>
      </c>
      <c r="H20" s="559"/>
      <c r="I20" s="559"/>
      <c r="J20" s="560"/>
      <c r="K20" s="127"/>
      <c r="L20" s="103" t="s">
        <v>12</v>
      </c>
      <c r="M20" s="288"/>
      <c r="N20" s="288"/>
      <c r="O20" s="288"/>
      <c r="P20" s="288"/>
      <c r="Q20" s="288"/>
      <c r="R20" s="288"/>
      <c r="S20" s="288"/>
      <c r="T20" s="288"/>
      <c r="U20" s="288"/>
      <c r="V20" s="289"/>
    </row>
    <row r="21" spans="1:22" ht="10.5" customHeight="1">
      <c r="A21" s="114"/>
      <c r="B21" s="79"/>
      <c r="C21" s="79"/>
      <c r="D21" s="79"/>
      <c r="E21" s="114"/>
      <c r="F21" s="115"/>
      <c r="G21" s="296"/>
      <c r="H21" s="297"/>
      <c r="I21" s="297"/>
      <c r="J21" s="297"/>
      <c r="K21" s="292"/>
      <c r="L21" s="292"/>
      <c r="M21" s="290"/>
      <c r="N21" s="290"/>
      <c r="O21" s="290"/>
      <c r="P21" s="290"/>
      <c r="Q21" s="290"/>
      <c r="R21" s="290"/>
      <c r="S21" s="290"/>
      <c r="T21" s="290"/>
      <c r="U21" s="288"/>
      <c r="V21" s="289"/>
    </row>
    <row r="22" spans="1:22" ht="10.5" customHeight="1">
      <c r="A22" s="114"/>
      <c r="B22" s="79"/>
      <c r="C22" s="79"/>
      <c r="D22" s="79"/>
      <c r="E22" s="114"/>
      <c r="F22" s="115"/>
      <c r="G22" s="487" t="s">
        <v>49</v>
      </c>
      <c r="H22" s="488"/>
      <c r="I22" s="488"/>
      <c r="J22" s="489"/>
      <c r="K22" s="490" t="s">
        <v>44</v>
      </c>
      <c r="L22" s="488"/>
      <c r="M22" s="488"/>
      <c r="N22" s="488"/>
      <c r="O22" s="488"/>
      <c r="P22" s="488"/>
      <c r="Q22" s="488"/>
      <c r="R22" s="488"/>
      <c r="S22" s="488"/>
      <c r="T22" s="491"/>
      <c r="U22" s="298"/>
      <c r="V22" s="289"/>
    </row>
    <row r="23" spans="1:22" ht="10.5" customHeight="1">
      <c r="A23" s="114"/>
      <c r="B23" s="79"/>
      <c r="C23" s="79"/>
      <c r="D23" s="79"/>
      <c r="E23" s="114"/>
      <c r="F23" s="115"/>
      <c r="G23" s="561"/>
      <c r="H23" s="562"/>
      <c r="I23" s="563"/>
      <c r="J23" s="564"/>
      <c r="K23" s="550" t="s">
        <v>50</v>
      </c>
      <c r="L23" s="551"/>
      <c r="M23" s="482"/>
      <c r="N23" s="551"/>
      <c r="O23" s="482" t="s">
        <v>55</v>
      </c>
      <c r="P23" s="551"/>
      <c r="Q23" s="482"/>
      <c r="R23" s="483"/>
      <c r="S23" s="552" t="s">
        <v>76</v>
      </c>
      <c r="T23" s="553"/>
      <c r="U23" s="299"/>
      <c r="V23" s="300"/>
    </row>
    <row r="24" spans="1:22" ht="10.5" customHeight="1">
      <c r="A24" s="114"/>
      <c r="B24" s="79"/>
      <c r="C24" s="79"/>
      <c r="D24" s="79"/>
      <c r="E24" s="114"/>
      <c r="F24" s="115"/>
      <c r="G24" s="545" t="s">
        <v>77</v>
      </c>
      <c r="H24" s="544"/>
      <c r="I24" s="541" t="s">
        <v>48</v>
      </c>
      <c r="J24" s="542"/>
      <c r="K24" s="543" t="s">
        <v>51</v>
      </c>
      <c r="L24" s="544"/>
      <c r="M24" s="480" t="s">
        <v>51</v>
      </c>
      <c r="N24" s="544"/>
      <c r="O24" s="480" t="s">
        <v>56</v>
      </c>
      <c r="P24" s="544"/>
      <c r="Q24" s="480" t="s">
        <v>60</v>
      </c>
      <c r="R24" s="481"/>
      <c r="S24" s="554"/>
      <c r="T24" s="555"/>
      <c r="U24" s="299"/>
      <c r="V24" s="300"/>
    </row>
    <row r="25" spans="1:22" ht="10.5" customHeight="1">
      <c r="A25" s="114"/>
      <c r="B25" s="79"/>
      <c r="C25" s="79"/>
      <c r="D25" s="79"/>
      <c r="E25" s="114"/>
      <c r="F25" s="115"/>
      <c r="G25" s="545" t="s">
        <v>47</v>
      </c>
      <c r="H25" s="544"/>
      <c r="I25" s="541" t="s">
        <v>46</v>
      </c>
      <c r="J25" s="542"/>
      <c r="K25" s="543" t="s">
        <v>52</v>
      </c>
      <c r="L25" s="544"/>
      <c r="M25" s="480" t="s">
        <v>53</v>
      </c>
      <c r="N25" s="544"/>
      <c r="O25" s="480" t="s">
        <v>51</v>
      </c>
      <c r="P25" s="544"/>
      <c r="Q25" s="480" t="s">
        <v>61</v>
      </c>
      <c r="R25" s="481"/>
      <c r="S25" s="554"/>
      <c r="T25" s="555"/>
      <c r="U25" s="299"/>
      <c r="V25" s="300"/>
    </row>
    <row r="26" spans="1:22" ht="33.75" customHeight="1">
      <c r="A26" s="116" t="str">
        <f>CONCATENATE($P$13,$Q$13,"/",1,"/",$R$13,$S$13)</f>
        <v>05/1/16</v>
      </c>
      <c r="B26" s="102">
        <f>(+P13+Q13)*(R13+S13)</f>
        <v>35</v>
      </c>
      <c r="C26" s="117"/>
      <c r="D26" s="117"/>
      <c r="E26" s="535" t="s">
        <v>89</v>
      </c>
      <c r="F26" s="536"/>
      <c r="G26" s="537" t="s">
        <v>57</v>
      </c>
      <c r="H26" s="538"/>
      <c r="I26" s="537" t="s">
        <v>57</v>
      </c>
      <c r="J26" s="539"/>
      <c r="K26" s="540" t="s">
        <v>58</v>
      </c>
      <c r="L26" s="538"/>
      <c r="M26" s="537" t="s">
        <v>54</v>
      </c>
      <c r="N26" s="538"/>
      <c r="O26" s="537" t="s">
        <v>59</v>
      </c>
      <c r="P26" s="538"/>
      <c r="Q26" s="531" t="s">
        <v>175</v>
      </c>
      <c r="R26" s="532"/>
      <c r="S26" s="556"/>
      <c r="T26" s="557"/>
      <c r="U26" s="533"/>
      <c r="V26" s="534"/>
    </row>
    <row r="27" spans="1:22" ht="10.5" customHeight="1">
      <c r="A27" s="118"/>
      <c r="B27" s="119"/>
      <c r="C27" s="119"/>
      <c r="D27" s="119"/>
      <c r="E27" s="60" t="str">
        <f aca="true" t="shared" si="0" ref="E27:E54">IF(+B$26&gt;0,TEXT(A$26+F27-1,"DDD"),"")</f>
        <v>Sun</v>
      </c>
      <c r="F27" s="62">
        <v>1</v>
      </c>
      <c r="G27" s="322"/>
      <c r="H27" s="323"/>
      <c r="I27" s="322"/>
      <c r="J27" s="528"/>
      <c r="K27" s="529"/>
      <c r="L27" s="514"/>
      <c r="M27" s="315"/>
      <c r="N27" s="363"/>
      <c r="O27" s="513"/>
      <c r="P27" s="514"/>
      <c r="Q27" s="315"/>
      <c r="R27" s="363"/>
      <c r="S27" s="513"/>
      <c r="T27" s="514"/>
      <c r="U27" s="515"/>
      <c r="V27" s="516"/>
    </row>
    <row r="28" spans="1:22" ht="10.5" customHeight="1">
      <c r="A28" s="67"/>
      <c r="B28" s="68"/>
      <c r="C28" s="68"/>
      <c r="D28" s="68" t="s">
        <v>0</v>
      </c>
      <c r="E28" s="60" t="str">
        <f t="shared" si="0"/>
        <v>Mon</v>
      </c>
      <c r="F28" s="62">
        <v>2</v>
      </c>
      <c r="G28" s="322"/>
      <c r="H28" s="323"/>
      <c r="I28" s="322"/>
      <c r="J28" s="528"/>
      <c r="K28" s="529"/>
      <c r="L28" s="514"/>
      <c r="M28" s="315"/>
      <c r="N28" s="363"/>
      <c r="O28" s="513"/>
      <c r="P28" s="514"/>
      <c r="Q28" s="315"/>
      <c r="R28" s="363"/>
      <c r="S28" s="513"/>
      <c r="T28" s="514"/>
      <c r="U28" s="515"/>
      <c r="V28" s="516"/>
    </row>
    <row r="29" spans="1:22" ht="10.5" customHeight="1">
      <c r="A29" s="67"/>
      <c r="B29" s="68"/>
      <c r="C29" s="68"/>
      <c r="D29" s="68" t="s">
        <v>0</v>
      </c>
      <c r="E29" s="60" t="str">
        <f t="shared" si="0"/>
        <v>Tue</v>
      </c>
      <c r="F29" s="62">
        <v>3</v>
      </c>
      <c r="G29" s="322"/>
      <c r="H29" s="323"/>
      <c r="I29" s="322"/>
      <c r="J29" s="528"/>
      <c r="K29" s="529"/>
      <c r="L29" s="514"/>
      <c r="M29" s="315"/>
      <c r="N29" s="363"/>
      <c r="O29" s="513"/>
      <c r="P29" s="514"/>
      <c r="Q29" s="315"/>
      <c r="R29" s="363"/>
      <c r="S29" s="513"/>
      <c r="T29" s="514"/>
      <c r="U29" s="515"/>
      <c r="V29" s="516"/>
    </row>
    <row r="30" spans="1:22" ht="10.5" customHeight="1">
      <c r="A30" s="67"/>
      <c r="B30" s="68"/>
      <c r="C30" s="68"/>
      <c r="D30" s="68" t="s">
        <v>0</v>
      </c>
      <c r="E30" s="60" t="str">
        <f t="shared" si="0"/>
        <v>Wed</v>
      </c>
      <c r="F30" s="62">
        <v>4</v>
      </c>
      <c r="G30" s="322"/>
      <c r="H30" s="323"/>
      <c r="I30" s="322"/>
      <c r="J30" s="528"/>
      <c r="K30" s="530"/>
      <c r="L30" s="514"/>
      <c r="M30" s="315"/>
      <c r="N30" s="363"/>
      <c r="O30" s="513"/>
      <c r="P30" s="514"/>
      <c r="Q30" s="315"/>
      <c r="R30" s="363"/>
      <c r="S30" s="513"/>
      <c r="T30" s="514"/>
      <c r="U30" s="515"/>
      <c r="V30" s="516"/>
    </row>
    <row r="31" spans="1:22" ht="10.5" customHeight="1">
      <c r="A31" s="67"/>
      <c r="B31" s="68"/>
      <c r="C31" s="68"/>
      <c r="D31" s="68" t="s">
        <v>0</v>
      </c>
      <c r="E31" s="60" t="str">
        <f t="shared" si="0"/>
        <v>Thu</v>
      </c>
      <c r="F31" s="62">
        <v>5</v>
      </c>
      <c r="G31" s="322"/>
      <c r="H31" s="323"/>
      <c r="I31" s="322"/>
      <c r="J31" s="528"/>
      <c r="K31" s="530"/>
      <c r="L31" s="514"/>
      <c r="M31" s="315"/>
      <c r="N31" s="363"/>
      <c r="O31" s="513"/>
      <c r="P31" s="514"/>
      <c r="Q31" s="315"/>
      <c r="R31" s="363"/>
      <c r="S31" s="513"/>
      <c r="T31" s="514"/>
      <c r="U31" s="515"/>
      <c r="V31" s="516"/>
    </row>
    <row r="32" spans="1:22" ht="10.5" customHeight="1">
      <c r="A32" s="67"/>
      <c r="B32" s="68"/>
      <c r="C32" s="68"/>
      <c r="D32" s="68" t="s">
        <v>0</v>
      </c>
      <c r="E32" s="60" t="str">
        <f t="shared" si="0"/>
        <v>Fri</v>
      </c>
      <c r="F32" s="62">
        <v>6</v>
      </c>
      <c r="G32" s="322"/>
      <c r="H32" s="323"/>
      <c r="I32" s="322"/>
      <c r="J32" s="528"/>
      <c r="K32" s="529"/>
      <c r="L32" s="514"/>
      <c r="M32" s="315"/>
      <c r="N32" s="363"/>
      <c r="O32" s="513"/>
      <c r="P32" s="514"/>
      <c r="Q32" s="315"/>
      <c r="R32" s="363"/>
      <c r="S32" s="513"/>
      <c r="T32" s="514"/>
      <c r="U32" s="515"/>
      <c r="V32" s="516"/>
    </row>
    <row r="33" spans="1:22" ht="10.5" customHeight="1">
      <c r="A33" s="67"/>
      <c r="B33" s="68"/>
      <c r="C33" s="68"/>
      <c r="D33" s="68" t="s">
        <v>0</v>
      </c>
      <c r="E33" s="60" t="str">
        <f t="shared" si="0"/>
        <v>Sat</v>
      </c>
      <c r="F33" s="62">
        <v>7</v>
      </c>
      <c r="G33" s="322"/>
      <c r="H33" s="323"/>
      <c r="I33" s="322"/>
      <c r="J33" s="528"/>
      <c r="K33" s="529"/>
      <c r="L33" s="514"/>
      <c r="M33" s="315"/>
      <c r="N33" s="363"/>
      <c r="O33" s="513"/>
      <c r="P33" s="514"/>
      <c r="Q33" s="315"/>
      <c r="R33" s="363"/>
      <c r="S33" s="513"/>
      <c r="T33" s="514"/>
      <c r="U33" s="515"/>
      <c r="V33" s="516"/>
    </row>
    <row r="34" spans="1:22" ht="10.5" customHeight="1">
      <c r="A34" s="67"/>
      <c r="B34" s="68"/>
      <c r="C34" s="68"/>
      <c r="D34" s="68" t="s">
        <v>0</v>
      </c>
      <c r="E34" s="60" t="str">
        <f t="shared" si="0"/>
        <v>Sun</v>
      </c>
      <c r="F34" s="62">
        <v>8</v>
      </c>
      <c r="G34" s="322"/>
      <c r="H34" s="323"/>
      <c r="I34" s="322"/>
      <c r="J34" s="528"/>
      <c r="K34" s="529"/>
      <c r="L34" s="514"/>
      <c r="M34" s="315"/>
      <c r="N34" s="363"/>
      <c r="O34" s="513"/>
      <c r="P34" s="514"/>
      <c r="Q34" s="315"/>
      <c r="R34" s="363"/>
      <c r="S34" s="513"/>
      <c r="T34" s="514"/>
      <c r="U34" s="515"/>
      <c r="V34" s="516"/>
    </row>
    <row r="35" spans="1:22" ht="10.5" customHeight="1">
      <c r="A35" s="67"/>
      <c r="B35" s="68"/>
      <c r="C35" s="68"/>
      <c r="D35" s="68" t="s">
        <v>0</v>
      </c>
      <c r="E35" s="60" t="str">
        <f t="shared" si="0"/>
        <v>Mon</v>
      </c>
      <c r="F35" s="62">
        <v>9</v>
      </c>
      <c r="G35" s="322"/>
      <c r="H35" s="323"/>
      <c r="I35" s="322"/>
      <c r="J35" s="528"/>
      <c r="K35" s="529"/>
      <c r="L35" s="514"/>
      <c r="M35" s="315"/>
      <c r="N35" s="363"/>
      <c r="O35" s="513"/>
      <c r="P35" s="514"/>
      <c r="Q35" s="315"/>
      <c r="R35" s="363"/>
      <c r="S35" s="513"/>
      <c r="T35" s="514"/>
      <c r="U35" s="515"/>
      <c r="V35" s="516"/>
    </row>
    <row r="36" spans="1:22" ht="10.5" customHeight="1">
      <c r="A36" s="67"/>
      <c r="B36" s="68"/>
      <c r="C36" s="68"/>
      <c r="D36" s="68" t="s">
        <v>0</v>
      </c>
      <c r="E36" s="60" t="str">
        <f t="shared" si="0"/>
        <v>Tue</v>
      </c>
      <c r="F36" s="62">
        <v>10</v>
      </c>
      <c r="G36" s="322"/>
      <c r="H36" s="323"/>
      <c r="I36" s="322"/>
      <c r="J36" s="528"/>
      <c r="K36" s="529"/>
      <c r="L36" s="514"/>
      <c r="M36" s="315"/>
      <c r="N36" s="363"/>
      <c r="O36" s="513"/>
      <c r="P36" s="514"/>
      <c r="Q36" s="315"/>
      <c r="R36" s="363"/>
      <c r="S36" s="513"/>
      <c r="T36" s="514"/>
      <c r="U36" s="515"/>
      <c r="V36" s="516"/>
    </row>
    <row r="37" spans="1:22" ht="10.5" customHeight="1">
      <c r="A37" s="67"/>
      <c r="B37" s="68"/>
      <c r="C37" s="68"/>
      <c r="D37" s="68" t="s">
        <v>0</v>
      </c>
      <c r="E37" s="60" t="str">
        <f t="shared" si="0"/>
        <v>Wed</v>
      </c>
      <c r="F37" s="62">
        <v>11</v>
      </c>
      <c r="G37" s="322"/>
      <c r="H37" s="323"/>
      <c r="I37" s="322"/>
      <c r="J37" s="528"/>
      <c r="K37" s="529"/>
      <c r="L37" s="514"/>
      <c r="M37" s="315"/>
      <c r="N37" s="363"/>
      <c r="O37" s="513"/>
      <c r="P37" s="514"/>
      <c r="Q37" s="315"/>
      <c r="R37" s="363"/>
      <c r="S37" s="513"/>
      <c r="T37" s="514"/>
      <c r="U37" s="515"/>
      <c r="V37" s="516"/>
    </row>
    <row r="38" spans="1:22" ht="10.5" customHeight="1">
      <c r="A38" s="67"/>
      <c r="B38" s="68"/>
      <c r="C38" s="68"/>
      <c r="D38" s="68" t="s">
        <v>0</v>
      </c>
      <c r="E38" s="60" t="str">
        <f t="shared" si="0"/>
        <v>Thu</v>
      </c>
      <c r="F38" s="62">
        <v>12</v>
      </c>
      <c r="G38" s="322"/>
      <c r="H38" s="323"/>
      <c r="I38" s="322"/>
      <c r="J38" s="528"/>
      <c r="K38" s="529"/>
      <c r="L38" s="514"/>
      <c r="M38" s="315"/>
      <c r="N38" s="363"/>
      <c r="O38" s="513"/>
      <c r="P38" s="514"/>
      <c r="Q38" s="315"/>
      <c r="R38" s="363"/>
      <c r="S38" s="513"/>
      <c r="T38" s="514"/>
      <c r="U38" s="515"/>
      <c r="V38" s="516"/>
    </row>
    <row r="39" spans="1:22" ht="10.5" customHeight="1">
      <c r="A39" s="67"/>
      <c r="B39" s="68"/>
      <c r="C39" s="68"/>
      <c r="D39" s="68" t="s">
        <v>0</v>
      </c>
      <c r="E39" s="60" t="str">
        <f t="shared" si="0"/>
        <v>Fri</v>
      </c>
      <c r="F39" s="62">
        <v>13</v>
      </c>
      <c r="G39" s="322"/>
      <c r="H39" s="323"/>
      <c r="I39" s="322"/>
      <c r="J39" s="528"/>
      <c r="K39" s="529"/>
      <c r="L39" s="514"/>
      <c r="M39" s="315"/>
      <c r="N39" s="363"/>
      <c r="O39" s="513"/>
      <c r="P39" s="514"/>
      <c r="Q39" s="315"/>
      <c r="R39" s="363"/>
      <c r="S39" s="513"/>
      <c r="T39" s="514"/>
      <c r="U39" s="515"/>
      <c r="V39" s="516"/>
    </row>
    <row r="40" spans="1:22" ht="10.5" customHeight="1">
      <c r="A40" s="67"/>
      <c r="B40" s="68"/>
      <c r="C40" s="68"/>
      <c r="D40" s="68" t="s">
        <v>0</v>
      </c>
      <c r="E40" s="60" t="str">
        <f t="shared" si="0"/>
        <v>Sat</v>
      </c>
      <c r="F40" s="62">
        <v>14</v>
      </c>
      <c r="G40" s="322"/>
      <c r="H40" s="323"/>
      <c r="I40" s="322"/>
      <c r="J40" s="528"/>
      <c r="K40" s="529"/>
      <c r="L40" s="514"/>
      <c r="M40" s="315"/>
      <c r="N40" s="363"/>
      <c r="O40" s="513"/>
      <c r="P40" s="514"/>
      <c r="Q40" s="315"/>
      <c r="R40" s="363"/>
      <c r="S40" s="513"/>
      <c r="T40" s="514"/>
      <c r="U40" s="515"/>
      <c r="V40" s="516"/>
    </row>
    <row r="41" spans="1:22" ht="10.5" customHeight="1">
      <c r="A41" s="67"/>
      <c r="B41" s="68"/>
      <c r="C41" s="68"/>
      <c r="D41" s="68" t="s">
        <v>0</v>
      </c>
      <c r="E41" s="60" t="str">
        <f t="shared" si="0"/>
        <v>Sun</v>
      </c>
      <c r="F41" s="62">
        <v>15</v>
      </c>
      <c r="G41" s="322"/>
      <c r="H41" s="323"/>
      <c r="I41" s="322"/>
      <c r="J41" s="528"/>
      <c r="K41" s="529"/>
      <c r="L41" s="514"/>
      <c r="M41" s="315"/>
      <c r="N41" s="363"/>
      <c r="O41" s="513"/>
      <c r="P41" s="514"/>
      <c r="Q41" s="315"/>
      <c r="R41" s="363"/>
      <c r="S41" s="513"/>
      <c r="T41" s="514"/>
      <c r="U41" s="515"/>
      <c r="V41" s="516"/>
    </row>
    <row r="42" spans="1:22" ht="10.5" customHeight="1">
      <c r="A42" s="67"/>
      <c r="B42" s="68"/>
      <c r="C42" s="68"/>
      <c r="D42" s="68" t="s">
        <v>0</v>
      </c>
      <c r="E42" s="60" t="str">
        <f t="shared" si="0"/>
        <v>Mon</v>
      </c>
      <c r="F42" s="62">
        <v>16</v>
      </c>
      <c r="G42" s="322"/>
      <c r="H42" s="323"/>
      <c r="I42" s="322"/>
      <c r="J42" s="528"/>
      <c r="K42" s="530"/>
      <c r="L42" s="514"/>
      <c r="M42" s="315"/>
      <c r="N42" s="363"/>
      <c r="O42" s="513"/>
      <c r="P42" s="514"/>
      <c r="Q42" s="315"/>
      <c r="R42" s="363"/>
      <c r="S42" s="513"/>
      <c r="T42" s="514"/>
      <c r="U42" s="515"/>
      <c r="V42" s="516"/>
    </row>
    <row r="43" spans="1:22" ht="10.5" customHeight="1">
      <c r="A43" s="67"/>
      <c r="B43" s="68"/>
      <c r="C43" s="68"/>
      <c r="D43" s="68" t="s">
        <v>0</v>
      </c>
      <c r="E43" s="60" t="str">
        <f t="shared" si="0"/>
        <v>Tue</v>
      </c>
      <c r="F43" s="62">
        <v>17</v>
      </c>
      <c r="G43" s="322"/>
      <c r="H43" s="323"/>
      <c r="I43" s="322"/>
      <c r="J43" s="528"/>
      <c r="K43" s="529"/>
      <c r="L43" s="514"/>
      <c r="M43" s="315"/>
      <c r="N43" s="363"/>
      <c r="O43" s="513"/>
      <c r="P43" s="514"/>
      <c r="Q43" s="315"/>
      <c r="R43" s="363"/>
      <c r="S43" s="513"/>
      <c r="T43" s="514"/>
      <c r="U43" s="515"/>
      <c r="V43" s="516"/>
    </row>
    <row r="44" spans="1:22" ht="10.5" customHeight="1">
      <c r="A44" s="67"/>
      <c r="B44" s="68"/>
      <c r="C44" s="68"/>
      <c r="D44" s="68" t="s">
        <v>0</v>
      </c>
      <c r="E44" s="60" t="str">
        <f t="shared" si="0"/>
        <v>Wed</v>
      </c>
      <c r="F44" s="62">
        <v>18</v>
      </c>
      <c r="G44" s="322"/>
      <c r="H44" s="323"/>
      <c r="I44" s="322"/>
      <c r="J44" s="528"/>
      <c r="K44" s="529"/>
      <c r="L44" s="514"/>
      <c r="M44" s="315"/>
      <c r="N44" s="363"/>
      <c r="O44" s="513"/>
      <c r="P44" s="514"/>
      <c r="Q44" s="315"/>
      <c r="R44" s="363"/>
      <c r="S44" s="513"/>
      <c r="T44" s="514"/>
      <c r="U44" s="515"/>
      <c r="V44" s="516"/>
    </row>
    <row r="45" spans="1:22" ht="10.5" customHeight="1">
      <c r="A45" s="67"/>
      <c r="B45" s="68"/>
      <c r="C45" s="68"/>
      <c r="D45" s="68" t="s">
        <v>0</v>
      </c>
      <c r="E45" s="60" t="str">
        <f t="shared" si="0"/>
        <v>Thu</v>
      </c>
      <c r="F45" s="62">
        <v>19</v>
      </c>
      <c r="G45" s="322"/>
      <c r="H45" s="323"/>
      <c r="I45" s="322"/>
      <c r="J45" s="528"/>
      <c r="K45" s="529"/>
      <c r="L45" s="514"/>
      <c r="M45" s="315"/>
      <c r="N45" s="363"/>
      <c r="O45" s="513"/>
      <c r="P45" s="514"/>
      <c r="Q45" s="315"/>
      <c r="R45" s="363"/>
      <c r="S45" s="513"/>
      <c r="T45" s="514"/>
      <c r="U45" s="515"/>
      <c r="V45" s="516"/>
    </row>
    <row r="46" spans="1:22" ht="10.5" customHeight="1">
      <c r="A46" s="67"/>
      <c r="B46" s="68"/>
      <c r="C46" s="68"/>
      <c r="D46" s="68" t="s">
        <v>0</v>
      </c>
      <c r="E46" s="60" t="str">
        <f t="shared" si="0"/>
        <v>Fri</v>
      </c>
      <c r="F46" s="62">
        <v>20</v>
      </c>
      <c r="G46" s="322"/>
      <c r="H46" s="323"/>
      <c r="I46" s="322"/>
      <c r="J46" s="528"/>
      <c r="K46" s="529"/>
      <c r="L46" s="514"/>
      <c r="M46" s="315"/>
      <c r="N46" s="363"/>
      <c r="O46" s="513"/>
      <c r="P46" s="514"/>
      <c r="Q46" s="315"/>
      <c r="R46" s="363"/>
      <c r="S46" s="513"/>
      <c r="T46" s="514"/>
      <c r="U46" s="515"/>
      <c r="V46" s="516"/>
    </row>
    <row r="47" spans="1:22" ht="10.5" customHeight="1">
      <c r="A47" s="67"/>
      <c r="B47" s="68"/>
      <c r="C47" s="68"/>
      <c r="D47" s="68" t="s">
        <v>0</v>
      </c>
      <c r="E47" s="60" t="str">
        <f t="shared" si="0"/>
        <v>Sat</v>
      </c>
      <c r="F47" s="62">
        <v>21</v>
      </c>
      <c r="G47" s="322"/>
      <c r="H47" s="323"/>
      <c r="I47" s="322"/>
      <c r="J47" s="528"/>
      <c r="K47" s="529"/>
      <c r="L47" s="514"/>
      <c r="M47" s="315"/>
      <c r="N47" s="363"/>
      <c r="O47" s="513"/>
      <c r="P47" s="514"/>
      <c r="Q47" s="315"/>
      <c r="R47" s="363"/>
      <c r="S47" s="513"/>
      <c r="T47" s="514"/>
      <c r="U47" s="515"/>
      <c r="V47" s="516"/>
    </row>
    <row r="48" spans="1:22" ht="10.5" customHeight="1">
      <c r="A48" s="67"/>
      <c r="B48" s="68"/>
      <c r="C48" s="68"/>
      <c r="D48" s="68" t="s">
        <v>0</v>
      </c>
      <c r="E48" s="60" t="str">
        <f t="shared" si="0"/>
        <v>Sun</v>
      </c>
      <c r="F48" s="62">
        <v>22</v>
      </c>
      <c r="G48" s="322"/>
      <c r="H48" s="323"/>
      <c r="I48" s="322"/>
      <c r="J48" s="528"/>
      <c r="K48" s="529"/>
      <c r="L48" s="514"/>
      <c r="M48" s="315"/>
      <c r="N48" s="363"/>
      <c r="O48" s="513"/>
      <c r="P48" s="514"/>
      <c r="Q48" s="315"/>
      <c r="R48" s="363"/>
      <c r="S48" s="513"/>
      <c r="T48" s="514"/>
      <c r="U48" s="515"/>
      <c r="V48" s="516"/>
    </row>
    <row r="49" spans="1:22" ht="10.5" customHeight="1">
      <c r="A49" s="67"/>
      <c r="B49" s="68"/>
      <c r="C49" s="68"/>
      <c r="D49" s="68" t="s">
        <v>0</v>
      </c>
      <c r="E49" s="60" t="str">
        <f t="shared" si="0"/>
        <v>Mon</v>
      </c>
      <c r="F49" s="62">
        <v>23</v>
      </c>
      <c r="G49" s="322"/>
      <c r="H49" s="323"/>
      <c r="I49" s="322"/>
      <c r="J49" s="528"/>
      <c r="K49" s="529"/>
      <c r="L49" s="514"/>
      <c r="M49" s="315"/>
      <c r="N49" s="363"/>
      <c r="O49" s="513"/>
      <c r="P49" s="514"/>
      <c r="Q49" s="315"/>
      <c r="R49" s="363"/>
      <c r="S49" s="513"/>
      <c r="T49" s="514"/>
      <c r="U49" s="515"/>
      <c r="V49" s="516"/>
    </row>
    <row r="50" spans="1:22" ht="10.5" customHeight="1">
      <c r="A50" s="67"/>
      <c r="B50" s="68"/>
      <c r="C50" s="68"/>
      <c r="D50" s="68" t="s">
        <v>0</v>
      </c>
      <c r="E50" s="60" t="str">
        <f t="shared" si="0"/>
        <v>Tue</v>
      </c>
      <c r="F50" s="62">
        <v>24</v>
      </c>
      <c r="G50" s="322"/>
      <c r="H50" s="323"/>
      <c r="I50" s="322"/>
      <c r="J50" s="528"/>
      <c r="K50" s="529"/>
      <c r="L50" s="514"/>
      <c r="M50" s="315"/>
      <c r="N50" s="363"/>
      <c r="O50" s="513"/>
      <c r="P50" s="514"/>
      <c r="Q50" s="315"/>
      <c r="R50" s="363"/>
      <c r="S50" s="513"/>
      <c r="T50" s="514"/>
      <c r="U50" s="515"/>
      <c r="V50" s="516"/>
    </row>
    <row r="51" spans="1:22" ht="10.5" customHeight="1">
      <c r="A51" s="67"/>
      <c r="B51" s="68"/>
      <c r="C51" s="68"/>
      <c r="D51" s="68" t="s">
        <v>0</v>
      </c>
      <c r="E51" s="60" t="str">
        <f t="shared" si="0"/>
        <v>Wed</v>
      </c>
      <c r="F51" s="62">
        <v>25</v>
      </c>
      <c r="G51" s="322"/>
      <c r="H51" s="323"/>
      <c r="I51" s="322"/>
      <c r="J51" s="528"/>
      <c r="K51" s="529"/>
      <c r="L51" s="514"/>
      <c r="M51" s="315"/>
      <c r="N51" s="363"/>
      <c r="O51" s="513"/>
      <c r="P51" s="514"/>
      <c r="Q51" s="315"/>
      <c r="R51" s="363"/>
      <c r="S51" s="513"/>
      <c r="T51" s="514"/>
      <c r="U51" s="515"/>
      <c r="V51" s="516"/>
    </row>
    <row r="52" spans="1:22" ht="10.5" customHeight="1">
      <c r="A52" s="67"/>
      <c r="B52" s="68"/>
      <c r="C52" s="68"/>
      <c r="D52" s="68" t="s">
        <v>0</v>
      </c>
      <c r="E52" s="60" t="str">
        <f t="shared" si="0"/>
        <v>Thu</v>
      </c>
      <c r="F52" s="62">
        <v>26</v>
      </c>
      <c r="G52" s="322"/>
      <c r="H52" s="323"/>
      <c r="I52" s="322"/>
      <c r="J52" s="528"/>
      <c r="K52" s="529"/>
      <c r="L52" s="514"/>
      <c r="M52" s="315"/>
      <c r="N52" s="363"/>
      <c r="O52" s="513"/>
      <c r="P52" s="514"/>
      <c r="Q52" s="315"/>
      <c r="R52" s="363"/>
      <c r="S52" s="513"/>
      <c r="T52" s="514"/>
      <c r="U52" s="515"/>
      <c r="V52" s="516"/>
    </row>
    <row r="53" spans="1:22" ht="10.5" customHeight="1">
      <c r="A53" s="67"/>
      <c r="B53" s="68"/>
      <c r="C53" s="68"/>
      <c r="D53" s="68" t="s">
        <v>0</v>
      </c>
      <c r="E53" s="60" t="str">
        <f t="shared" si="0"/>
        <v>Fri</v>
      </c>
      <c r="F53" s="62">
        <v>27</v>
      </c>
      <c r="G53" s="322"/>
      <c r="H53" s="323"/>
      <c r="I53" s="322"/>
      <c r="J53" s="528"/>
      <c r="K53" s="529"/>
      <c r="L53" s="514"/>
      <c r="M53" s="315"/>
      <c r="N53" s="363"/>
      <c r="O53" s="513"/>
      <c r="P53" s="514"/>
      <c r="Q53" s="315"/>
      <c r="R53" s="363"/>
      <c r="S53" s="513"/>
      <c r="T53" s="514"/>
      <c r="U53" s="515"/>
      <c r="V53" s="516"/>
    </row>
    <row r="54" spans="1:22" ht="10.5" customHeight="1">
      <c r="A54" s="67"/>
      <c r="B54" s="68"/>
      <c r="C54" s="68"/>
      <c r="D54" s="68" t="s">
        <v>0</v>
      </c>
      <c r="E54" s="60" t="str">
        <f t="shared" si="0"/>
        <v>Sat</v>
      </c>
      <c r="F54" s="62">
        <v>28</v>
      </c>
      <c r="G54" s="322"/>
      <c r="H54" s="323"/>
      <c r="I54" s="322"/>
      <c r="J54" s="528"/>
      <c r="K54" s="529"/>
      <c r="L54" s="514"/>
      <c r="M54" s="315"/>
      <c r="N54" s="363"/>
      <c r="O54" s="513"/>
      <c r="P54" s="514"/>
      <c r="Q54" s="315"/>
      <c r="R54" s="363"/>
      <c r="S54" s="513"/>
      <c r="T54" s="514"/>
      <c r="U54" s="515"/>
      <c r="V54" s="516"/>
    </row>
    <row r="55" spans="1:22" ht="10.5" customHeight="1">
      <c r="A55" s="67"/>
      <c r="B55" s="68"/>
      <c r="C55" s="68"/>
      <c r="D55" s="68" t="s">
        <v>0</v>
      </c>
      <c r="E55" s="60" t="str">
        <f>IF(AND(F55=29,+B$26&gt;0),TEXT(A$26+F55-1,"DDD"),"")</f>
        <v>Sun</v>
      </c>
      <c r="F55" s="62">
        <f>IF(10*P13+Q13&lt;&gt;2,29,IF(INT((R13+S13)/4)=(R13+S13)/4,29,""))</f>
        <v>29</v>
      </c>
      <c r="G55" s="322"/>
      <c r="H55" s="323"/>
      <c r="I55" s="322"/>
      <c r="J55" s="528"/>
      <c r="K55" s="529"/>
      <c r="L55" s="514"/>
      <c r="M55" s="315"/>
      <c r="N55" s="363"/>
      <c r="O55" s="513"/>
      <c r="P55" s="514"/>
      <c r="Q55" s="315"/>
      <c r="R55" s="363"/>
      <c r="S55" s="513"/>
      <c r="T55" s="514"/>
      <c r="U55" s="515"/>
      <c r="V55" s="516"/>
    </row>
    <row r="56" spans="1:22" ht="10.5" customHeight="1">
      <c r="A56" s="67"/>
      <c r="B56" s="68"/>
      <c r="C56" s="68"/>
      <c r="D56" s="68" t="s">
        <v>0</v>
      </c>
      <c r="E56" s="60" t="str">
        <f>IF(AND(F56=30,B26&gt;0),TEXT(A$26+F56-1,"DDD"),"")</f>
        <v>Mon</v>
      </c>
      <c r="F56" s="62">
        <f>IF(10*P13+Q13&lt;&gt;2,30,"")</f>
        <v>30</v>
      </c>
      <c r="G56" s="322"/>
      <c r="H56" s="323"/>
      <c r="I56" s="322"/>
      <c r="J56" s="528"/>
      <c r="K56" s="529"/>
      <c r="L56" s="514"/>
      <c r="M56" s="315"/>
      <c r="N56" s="363"/>
      <c r="O56" s="513"/>
      <c r="P56" s="514"/>
      <c r="Q56" s="315"/>
      <c r="R56" s="363"/>
      <c r="S56" s="513"/>
      <c r="T56" s="514"/>
      <c r="U56" s="515"/>
      <c r="V56" s="516"/>
    </row>
    <row r="57" spans="1:22" ht="10.5" customHeight="1" thickBot="1">
      <c r="A57" s="67"/>
      <c r="B57" s="68"/>
      <c r="C57" s="68"/>
      <c r="D57" s="68" t="s">
        <v>0</v>
      </c>
      <c r="E57" s="60" t="str">
        <f>IF(AND(F57=31,B26&gt;0),TEXT(A$26+F57-1,"DDD"),"")</f>
        <v>Tue</v>
      </c>
      <c r="F57" s="62">
        <f>IF(OR(P13+Q13=1,Q13=5,Q13=7,Q13=8,P13+Q13=3),31,"")</f>
        <v>31</v>
      </c>
      <c r="G57" s="523"/>
      <c r="H57" s="524"/>
      <c r="I57" s="523"/>
      <c r="J57" s="525"/>
      <c r="K57" s="517"/>
      <c r="L57" s="518"/>
      <c r="M57" s="526"/>
      <c r="N57" s="527"/>
      <c r="O57" s="517"/>
      <c r="P57" s="518"/>
      <c r="Q57" s="526"/>
      <c r="R57" s="527"/>
      <c r="S57" s="517"/>
      <c r="T57" s="518"/>
      <c r="U57" s="519"/>
      <c r="V57" s="520"/>
    </row>
    <row r="58" spans="1:22" ht="10.5" customHeight="1" thickTop="1">
      <c r="A58" s="63"/>
      <c r="B58" s="64"/>
      <c r="C58" s="64"/>
      <c r="D58" s="69"/>
      <c r="E58" s="120" t="s">
        <v>62</v>
      </c>
      <c r="F58" s="93" t="s">
        <v>0</v>
      </c>
      <c r="G58" s="507">
        <f>SUM(G27:H57)</f>
        <v>0</v>
      </c>
      <c r="H58" s="508"/>
      <c r="I58" s="509"/>
      <c r="J58" s="510"/>
      <c r="K58" s="511"/>
      <c r="L58" s="512"/>
      <c r="M58" s="511">
        <f>SUM(M27:N57)</f>
        <v>0</v>
      </c>
      <c r="N58" s="512"/>
      <c r="O58" s="511">
        <f>SUM(O27:P57)</f>
        <v>0</v>
      </c>
      <c r="P58" s="512"/>
      <c r="Q58" s="511"/>
      <c r="R58" s="512"/>
      <c r="S58" s="511"/>
      <c r="T58" s="512"/>
      <c r="U58" s="521"/>
      <c r="V58" s="522"/>
    </row>
    <row r="59" spans="1:22" s="201" customFormat="1" ht="10.5" customHeight="1">
      <c r="A59" s="187"/>
      <c r="B59" s="188"/>
      <c r="C59" s="188"/>
      <c r="D59" s="188"/>
      <c r="E59" s="186"/>
      <c r="F59" s="186" t="s">
        <v>0</v>
      </c>
      <c r="G59" s="484"/>
      <c r="H59" s="484"/>
      <c r="I59" s="484"/>
      <c r="J59" s="484"/>
      <c r="K59" s="484"/>
      <c r="L59" s="484"/>
      <c r="M59" s="484"/>
      <c r="N59" s="484"/>
      <c r="O59" s="484"/>
      <c r="P59" s="484"/>
      <c r="Q59" s="484"/>
      <c r="R59" s="484"/>
      <c r="S59" s="484"/>
      <c r="T59" s="484"/>
      <c r="U59" s="485"/>
      <c r="V59" s="486"/>
    </row>
    <row r="60" spans="1:22" s="201" customFormat="1" ht="10.5" customHeight="1" hidden="1">
      <c r="A60" s="187"/>
      <c r="B60" s="188"/>
      <c r="C60" s="188"/>
      <c r="D60" s="188"/>
      <c r="E60" s="188"/>
      <c r="F60" s="188" t="s">
        <v>0</v>
      </c>
      <c r="G60" s="485"/>
      <c r="H60" s="485"/>
      <c r="I60" s="485"/>
      <c r="J60" s="485"/>
      <c r="K60" s="485"/>
      <c r="L60" s="485"/>
      <c r="M60" s="485"/>
      <c r="N60" s="485"/>
      <c r="O60" s="485"/>
      <c r="P60" s="485"/>
      <c r="Q60" s="485"/>
      <c r="R60" s="485"/>
      <c r="S60" s="485"/>
      <c r="T60" s="485"/>
      <c r="U60" s="485"/>
      <c r="V60" s="486"/>
    </row>
    <row r="61" spans="1:22" s="201" customFormat="1" ht="10.5" customHeight="1" hidden="1">
      <c r="A61" s="301"/>
      <c r="B61" s="188"/>
      <c r="C61" s="188"/>
      <c r="D61" s="188"/>
      <c r="E61" s="188"/>
      <c r="F61" s="188"/>
      <c r="G61" s="503"/>
      <c r="H61" s="503"/>
      <c r="I61" s="504"/>
      <c r="J61" s="504"/>
      <c r="K61" s="504"/>
      <c r="L61" s="504"/>
      <c r="M61" s="504"/>
      <c r="N61" s="504"/>
      <c r="O61" s="504"/>
      <c r="P61" s="504"/>
      <c r="Q61" s="504"/>
      <c r="R61" s="504"/>
      <c r="S61" s="492"/>
      <c r="T61" s="493"/>
      <c r="U61" s="492"/>
      <c r="V61" s="496"/>
    </row>
    <row r="62" spans="1:22" s="201" customFormat="1" ht="10.5" customHeight="1" thickBot="1">
      <c r="A62" s="181"/>
      <c r="B62" s="182"/>
      <c r="C62" s="182"/>
      <c r="D62" s="182"/>
      <c r="E62" s="182"/>
      <c r="F62" s="182"/>
      <c r="G62" s="504"/>
      <c r="H62" s="504"/>
      <c r="I62" s="505"/>
      <c r="J62" s="506"/>
      <c r="K62" s="506"/>
      <c r="L62" s="506"/>
      <c r="M62" s="506"/>
      <c r="N62" s="506"/>
      <c r="O62" s="506"/>
      <c r="P62" s="506"/>
      <c r="Q62" s="506"/>
      <c r="R62" s="506"/>
      <c r="S62" s="494"/>
      <c r="T62" s="495"/>
      <c r="U62" s="497"/>
      <c r="V62" s="498"/>
    </row>
    <row r="63" spans="1:22" ht="10.5" customHeight="1" hidden="1" thickBot="1">
      <c r="A63" s="18"/>
      <c r="B63" s="7"/>
      <c r="C63" s="7"/>
      <c r="D63" s="7"/>
      <c r="E63" s="7"/>
      <c r="F63" s="8"/>
      <c r="G63" s="499"/>
      <c r="H63" s="499"/>
      <c r="I63" s="9"/>
      <c r="J63" s="19"/>
      <c r="K63" s="20"/>
      <c r="L63" s="20"/>
      <c r="M63" s="20"/>
      <c r="N63" s="20"/>
      <c r="O63" s="20"/>
      <c r="P63" s="20"/>
      <c r="Q63" s="20"/>
      <c r="R63" s="20"/>
      <c r="S63" s="21"/>
      <c r="T63" s="20"/>
      <c r="U63" s="20"/>
      <c r="V63" s="22"/>
    </row>
    <row r="64" spans="1:22" ht="10.5" customHeight="1">
      <c r="A64" s="76"/>
      <c r="B64" s="77"/>
      <c r="C64" s="77"/>
      <c r="D64" s="77"/>
      <c r="E64" s="77"/>
      <c r="F64" s="77"/>
      <c r="G64" s="77"/>
      <c r="H64" s="77"/>
      <c r="I64" s="77"/>
      <c r="J64" s="72" t="s">
        <v>22</v>
      </c>
      <c r="K64" s="73"/>
      <c r="L64" s="73"/>
      <c r="M64" s="73"/>
      <c r="N64" s="73"/>
      <c r="O64" s="73"/>
      <c r="P64" s="73"/>
      <c r="Q64" s="73"/>
      <c r="R64" s="73"/>
      <c r="S64" s="418" t="s">
        <v>163</v>
      </c>
      <c r="T64" s="419"/>
      <c r="U64" s="419"/>
      <c r="V64" s="420"/>
    </row>
    <row r="65" spans="1:22" ht="10.5" customHeight="1">
      <c r="A65" s="78" t="s">
        <v>23</v>
      </c>
      <c r="B65" s="79"/>
      <c r="C65" s="79"/>
      <c r="D65" s="79"/>
      <c r="E65" s="79"/>
      <c r="F65" s="79"/>
      <c r="G65" s="79"/>
      <c r="H65" s="79"/>
      <c r="I65" s="79"/>
      <c r="J65" s="424">
        <f>IF('MMR-Page1'!J65="","",'MMR-Page1'!J65)</f>
      </c>
      <c r="K65" s="425"/>
      <c r="L65" s="425"/>
      <c r="M65" s="425"/>
      <c r="N65" s="425"/>
      <c r="O65" s="425"/>
      <c r="P65" s="425"/>
      <c r="Q65" s="425"/>
      <c r="R65" s="426"/>
      <c r="S65" s="430">
        <f>IF('MMR-Page1'!S65="","",'MMR-Page1'!S65)</f>
      </c>
      <c r="T65" s="425"/>
      <c r="U65" s="425"/>
      <c r="V65" s="500"/>
    </row>
    <row r="66" spans="1:22" ht="10.5" customHeight="1">
      <c r="A66" s="80" t="s">
        <v>24</v>
      </c>
      <c r="B66" s="68"/>
      <c r="C66" s="68"/>
      <c r="D66" s="68"/>
      <c r="E66" s="68"/>
      <c r="F66" s="68"/>
      <c r="G66" s="68"/>
      <c r="H66" s="68"/>
      <c r="I66" s="68"/>
      <c r="J66" s="427"/>
      <c r="K66" s="428"/>
      <c r="L66" s="428"/>
      <c r="M66" s="428"/>
      <c r="N66" s="428"/>
      <c r="O66" s="428"/>
      <c r="P66" s="428"/>
      <c r="Q66" s="428"/>
      <c r="R66" s="429"/>
      <c r="S66" s="501"/>
      <c r="T66" s="428"/>
      <c r="U66" s="428"/>
      <c r="V66" s="502"/>
    </row>
    <row r="67" spans="1:22" ht="10.5" customHeight="1">
      <c r="A67" s="80" t="s">
        <v>25</v>
      </c>
      <c r="B67" s="68"/>
      <c r="C67" s="68"/>
      <c r="D67" s="68"/>
      <c r="E67" s="68"/>
      <c r="F67" s="68"/>
      <c r="G67" s="68"/>
      <c r="H67" s="68"/>
      <c r="I67" s="68"/>
      <c r="J67" s="390" t="s">
        <v>26</v>
      </c>
      <c r="K67" s="391"/>
      <c r="L67" s="391"/>
      <c r="M67" s="391"/>
      <c r="N67" s="391"/>
      <c r="O67" s="318"/>
      <c r="P67" s="319"/>
      <c r="Q67" s="396" t="s">
        <v>27</v>
      </c>
      <c r="R67" s="391"/>
      <c r="S67" s="391"/>
      <c r="T67" s="391"/>
      <c r="U67" s="391"/>
      <c r="V67" s="397"/>
    </row>
    <row r="68" spans="1:22" ht="11.25" customHeight="1">
      <c r="A68" s="80" t="s">
        <v>28</v>
      </c>
      <c r="B68" s="68"/>
      <c r="C68" s="68"/>
      <c r="D68" s="68"/>
      <c r="E68" s="68"/>
      <c r="F68" s="68"/>
      <c r="G68" s="68"/>
      <c r="H68" s="68"/>
      <c r="I68" s="68"/>
      <c r="J68" s="392"/>
      <c r="K68" s="393"/>
      <c r="L68" s="393"/>
      <c r="M68" s="393"/>
      <c r="N68" s="393"/>
      <c r="O68" s="394"/>
      <c r="P68" s="395"/>
      <c r="Q68" s="398"/>
      <c r="R68" s="393"/>
      <c r="S68" s="393"/>
      <c r="T68" s="393"/>
      <c r="U68" s="393"/>
      <c r="V68" s="399"/>
    </row>
    <row r="69" spans="1:22" ht="10.5" customHeight="1">
      <c r="A69" s="80" t="s">
        <v>29</v>
      </c>
      <c r="B69" s="68"/>
      <c r="C69" s="68"/>
      <c r="D69" s="68"/>
      <c r="E69" s="68"/>
      <c r="F69" s="68"/>
      <c r="G69" s="68"/>
      <c r="H69" s="68"/>
      <c r="I69" s="68"/>
      <c r="J69" s="424">
        <f>IF('MMR-Page1'!J69="","",'MMR-Page1'!J69)</f>
      </c>
      <c r="K69" s="436"/>
      <c r="L69" s="436"/>
      <c r="M69" s="436"/>
      <c r="N69" s="436"/>
      <c r="O69" s="436"/>
      <c r="P69" s="426"/>
      <c r="Q69" s="440">
        <f>IF('MMR-Page1'!Q69="","",'MMR-Page1'!Q69)</f>
      </c>
      <c r="R69" s="441"/>
      <c r="S69" s="441"/>
      <c r="T69" s="441"/>
      <c r="U69" s="441"/>
      <c r="V69" s="442"/>
    </row>
    <row r="70" spans="1:22" ht="10.5" customHeight="1" thickBot="1">
      <c r="A70" s="80" t="s">
        <v>30</v>
      </c>
      <c r="B70" s="68"/>
      <c r="C70" s="68"/>
      <c r="D70" s="68"/>
      <c r="E70" s="68"/>
      <c r="F70" s="68"/>
      <c r="G70" s="68"/>
      <c r="H70" s="68"/>
      <c r="I70" s="68"/>
      <c r="J70" s="437"/>
      <c r="K70" s="438"/>
      <c r="L70" s="438"/>
      <c r="M70" s="438"/>
      <c r="N70" s="438"/>
      <c r="O70" s="438"/>
      <c r="P70" s="439"/>
      <c r="Q70" s="443"/>
      <c r="R70" s="444"/>
      <c r="S70" s="444"/>
      <c r="T70" s="444"/>
      <c r="U70" s="444"/>
      <c r="V70" s="445"/>
    </row>
    <row r="71" spans="1:22" ht="10.5" customHeight="1">
      <c r="A71" s="80" t="s">
        <v>31</v>
      </c>
      <c r="B71" s="68"/>
      <c r="C71" s="68"/>
      <c r="D71" s="68"/>
      <c r="E71" s="68"/>
      <c r="F71" s="68"/>
      <c r="G71" s="68"/>
      <c r="H71" s="68"/>
      <c r="I71" s="68"/>
      <c r="J71" s="72" t="s">
        <v>32</v>
      </c>
      <c r="K71" s="73"/>
      <c r="L71" s="73"/>
      <c r="M71" s="73"/>
      <c r="N71" s="73"/>
      <c r="O71" s="73"/>
      <c r="P71" s="73"/>
      <c r="Q71" s="73"/>
      <c r="R71" s="73"/>
      <c r="S71" s="412" t="s">
        <v>163</v>
      </c>
      <c r="T71" s="413"/>
      <c r="U71" s="413"/>
      <c r="V71" s="414"/>
    </row>
    <row r="72" spans="1:22" ht="10.5" customHeight="1">
      <c r="A72" s="80" t="s">
        <v>33</v>
      </c>
      <c r="B72" s="68"/>
      <c r="C72" s="68"/>
      <c r="D72" s="68"/>
      <c r="E72" s="68"/>
      <c r="F72" s="68"/>
      <c r="G72" s="68"/>
      <c r="H72" s="68"/>
      <c r="I72" s="68"/>
      <c r="J72" s="74" t="s">
        <v>34</v>
      </c>
      <c r="K72" s="75"/>
      <c r="L72" s="75"/>
      <c r="M72" s="75"/>
      <c r="N72" s="75"/>
      <c r="O72" s="75"/>
      <c r="P72" s="75"/>
      <c r="Q72" s="75"/>
      <c r="R72" s="75"/>
      <c r="S72" s="415"/>
      <c r="T72" s="416"/>
      <c r="U72" s="416"/>
      <c r="V72" s="417"/>
    </row>
    <row r="73" spans="1:22" ht="10.5" customHeight="1">
      <c r="A73" s="80" t="s">
        <v>35</v>
      </c>
      <c r="B73" s="68"/>
      <c r="C73" s="68"/>
      <c r="D73" s="68"/>
      <c r="E73" s="68"/>
      <c r="F73" s="68"/>
      <c r="G73" s="68"/>
      <c r="H73" s="68"/>
      <c r="I73" s="68"/>
      <c r="J73" s="368"/>
      <c r="K73" s="369"/>
      <c r="L73" s="369"/>
      <c r="M73" s="369"/>
      <c r="N73" s="369"/>
      <c r="O73" s="369"/>
      <c r="P73" s="369"/>
      <c r="Q73" s="369"/>
      <c r="R73" s="370"/>
      <c r="S73" s="374"/>
      <c r="T73" s="369"/>
      <c r="U73" s="369"/>
      <c r="V73" s="375"/>
    </row>
    <row r="74" spans="1:22" ht="10.5" customHeight="1" thickBot="1">
      <c r="A74" s="81" t="s">
        <v>36</v>
      </c>
      <c r="B74" s="82"/>
      <c r="C74" s="82"/>
      <c r="D74" s="82"/>
      <c r="E74" s="82"/>
      <c r="F74" s="82"/>
      <c r="G74" s="82"/>
      <c r="H74" s="82"/>
      <c r="I74" s="82"/>
      <c r="J74" s="371"/>
      <c r="K74" s="372"/>
      <c r="L74" s="372"/>
      <c r="M74" s="372"/>
      <c r="N74" s="372"/>
      <c r="O74" s="372"/>
      <c r="P74" s="372"/>
      <c r="Q74" s="372"/>
      <c r="R74" s="373"/>
      <c r="S74" s="376"/>
      <c r="T74" s="372"/>
      <c r="U74" s="372"/>
      <c r="V74" s="377"/>
    </row>
    <row r="75" spans="1:22" ht="10.5" customHeight="1">
      <c r="A75" s="1"/>
      <c r="B75" s="1"/>
      <c r="C75" s="1"/>
      <c r="D75" s="1"/>
      <c r="E75" s="1"/>
      <c r="F75" s="1"/>
      <c r="G75" s="1"/>
      <c r="H75" s="1"/>
      <c r="I75" s="1"/>
      <c r="J75" s="378" t="s">
        <v>67</v>
      </c>
      <c r="K75" s="378"/>
      <c r="L75" s="23">
        <v>4</v>
      </c>
      <c r="M75" s="1"/>
      <c r="N75" s="1"/>
      <c r="O75" s="1"/>
      <c r="P75" s="1"/>
      <c r="Q75" s="1"/>
      <c r="R75" s="1"/>
      <c r="S75" s="1"/>
      <c r="T75" s="1"/>
      <c r="U75" s="1"/>
      <c r="V75" s="1"/>
    </row>
    <row r="76" spans="1:22" ht="10.5" customHeight="1">
      <c r="A76" s="24"/>
      <c r="B76" s="24"/>
      <c r="C76" s="24"/>
      <c r="D76" s="24"/>
      <c r="E76" s="24"/>
      <c r="F76" s="24"/>
      <c r="G76" s="24"/>
      <c r="H76" s="24"/>
      <c r="I76" s="24"/>
      <c r="J76" s="24"/>
      <c r="K76" s="24"/>
      <c r="L76" s="24"/>
      <c r="M76" s="24"/>
      <c r="N76" s="24"/>
      <c r="O76" s="24"/>
      <c r="P76" s="24"/>
      <c r="Q76" s="24"/>
      <c r="R76" s="24"/>
      <c r="S76" s="24"/>
      <c r="T76" s="24"/>
      <c r="U76" s="24"/>
      <c r="V76" s="24"/>
    </row>
    <row r="78" ht="15">
      <c r="S78" s="59" t="s">
        <v>78</v>
      </c>
    </row>
    <row r="79" ht="15">
      <c r="S79" s="59" t="s">
        <v>79</v>
      </c>
    </row>
    <row r="80" ht="15">
      <c r="S80" s="59" t="s">
        <v>45</v>
      </c>
    </row>
  </sheetData>
  <sheetProtection selectLockedCells="1"/>
  <mergeCells count="338">
    <mergeCell ref="S64:V64"/>
    <mergeCell ref="S71:V72"/>
    <mergeCell ref="S23:T26"/>
    <mergeCell ref="G20:J20"/>
    <mergeCell ref="G19:J19"/>
    <mergeCell ref="G23:H23"/>
    <mergeCell ref="I23:J23"/>
    <mergeCell ref="M23:N23"/>
    <mergeCell ref="O23:P23"/>
    <mergeCell ref="G25:H25"/>
    <mergeCell ref="G17:V17"/>
    <mergeCell ref="M24:N24"/>
    <mergeCell ref="O24:P24"/>
    <mergeCell ref="Q24:R24"/>
    <mergeCell ref="K23:L23"/>
    <mergeCell ref="D5:L5"/>
    <mergeCell ref="D6:L6"/>
    <mergeCell ref="D7:L7"/>
    <mergeCell ref="D8:L8"/>
    <mergeCell ref="D9:L9"/>
    <mergeCell ref="D10:L10"/>
    <mergeCell ref="S15:U15"/>
    <mergeCell ref="D11:L11"/>
    <mergeCell ref="N11:P11"/>
    <mergeCell ref="Q11:V11"/>
    <mergeCell ref="A14:I14"/>
    <mergeCell ref="K14:N14"/>
    <mergeCell ref="P14:Q14"/>
    <mergeCell ref="R14:S14"/>
    <mergeCell ref="I25:J25"/>
    <mergeCell ref="K25:L25"/>
    <mergeCell ref="M25:N25"/>
    <mergeCell ref="O25:P25"/>
    <mergeCell ref="G24:H24"/>
    <mergeCell ref="I24:J24"/>
    <mergeCell ref="K24:L24"/>
    <mergeCell ref="E26:F26"/>
    <mergeCell ref="G26:H26"/>
    <mergeCell ref="I26:J26"/>
    <mergeCell ref="K26:L26"/>
    <mergeCell ref="M26:N26"/>
    <mergeCell ref="O26:P26"/>
    <mergeCell ref="Q26:R26"/>
    <mergeCell ref="U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H31"/>
    <mergeCell ref="I31:J31"/>
    <mergeCell ref="K31:L31"/>
    <mergeCell ref="M31:N31"/>
    <mergeCell ref="O31:P31"/>
    <mergeCell ref="Q31:R31"/>
    <mergeCell ref="S31:T31"/>
    <mergeCell ref="U31:V31"/>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G35:H35"/>
    <mergeCell ref="I35:J35"/>
    <mergeCell ref="K35:L35"/>
    <mergeCell ref="M35:N35"/>
    <mergeCell ref="O35:P35"/>
    <mergeCell ref="Q35:R35"/>
    <mergeCell ref="S35:T35"/>
    <mergeCell ref="U35:V35"/>
    <mergeCell ref="G36:H36"/>
    <mergeCell ref="I36:J36"/>
    <mergeCell ref="K36:L36"/>
    <mergeCell ref="M36:N36"/>
    <mergeCell ref="O36:P36"/>
    <mergeCell ref="Q36:R36"/>
    <mergeCell ref="S36:T36"/>
    <mergeCell ref="U36:V36"/>
    <mergeCell ref="G37:H37"/>
    <mergeCell ref="I37:J37"/>
    <mergeCell ref="K37:L37"/>
    <mergeCell ref="M37:N37"/>
    <mergeCell ref="O37:P37"/>
    <mergeCell ref="Q37:R37"/>
    <mergeCell ref="S37:T37"/>
    <mergeCell ref="U37:V37"/>
    <mergeCell ref="G38:H38"/>
    <mergeCell ref="I38:J38"/>
    <mergeCell ref="K38:L38"/>
    <mergeCell ref="M38:N38"/>
    <mergeCell ref="O38:P38"/>
    <mergeCell ref="Q38:R38"/>
    <mergeCell ref="S38:T38"/>
    <mergeCell ref="U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H41"/>
    <mergeCell ref="I41:J41"/>
    <mergeCell ref="K41:L41"/>
    <mergeCell ref="M41:N41"/>
    <mergeCell ref="O41:P41"/>
    <mergeCell ref="Q41:R41"/>
    <mergeCell ref="S41:T41"/>
    <mergeCell ref="U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H46"/>
    <mergeCell ref="I46:J46"/>
    <mergeCell ref="K46:L46"/>
    <mergeCell ref="M46:N46"/>
    <mergeCell ref="O46:P46"/>
    <mergeCell ref="Q46:R46"/>
    <mergeCell ref="S46:T46"/>
    <mergeCell ref="U46:V46"/>
    <mergeCell ref="G47:H47"/>
    <mergeCell ref="I47:J47"/>
    <mergeCell ref="K47:L47"/>
    <mergeCell ref="M47:N47"/>
    <mergeCell ref="O47:P47"/>
    <mergeCell ref="Q47:R47"/>
    <mergeCell ref="S47:T47"/>
    <mergeCell ref="U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H50"/>
    <mergeCell ref="I50:J50"/>
    <mergeCell ref="K50:L50"/>
    <mergeCell ref="M50:N50"/>
    <mergeCell ref="O50:P50"/>
    <mergeCell ref="Q50:R50"/>
    <mergeCell ref="S50:T50"/>
    <mergeCell ref="U50:V50"/>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H54"/>
    <mergeCell ref="I54:J54"/>
    <mergeCell ref="K54:L54"/>
    <mergeCell ref="M54:N54"/>
    <mergeCell ref="O54:P54"/>
    <mergeCell ref="Q54:R54"/>
    <mergeCell ref="S54:T54"/>
    <mergeCell ref="U54:V54"/>
    <mergeCell ref="G55:H55"/>
    <mergeCell ref="I55:J55"/>
    <mergeCell ref="K55:L55"/>
    <mergeCell ref="M55:N55"/>
    <mergeCell ref="O55:P55"/>
    <mergeCell ref="Q55:R55"/>
    <mergeCell ref="S55:T55"/>
    <mergeCell ref="U55:V55"/>
    <mergeCell ref="G56:H56"/>
    <mergeCell ref="I56:J56"/>
    <mergeCell ref="K56:L56"/>
    <mergeCell ref="M56:N56"/>
    <mergeCell ref="O56:P56"/>
    <mergeCell ref="Q56:R56"/>
    <mergeCell ref="G57:H57"/>
    <mergeCell ref="I57:J57"/>
    <mergeCell ref="K57:L57"/>
    <mergeCell ref="M57:N57"/>
    <mergeCell ref="O57:P57"/>
    <mergeCell ref="Q57:R57"/>
    <mergeCell ref="S56:T56"/>
    <mergeCell ref="U56:V56"/>
    <mergeCell ref="S57:T57"/>
    <mergeCell ref="U57:V57"/>
    <mergeCell ref="S58:T58"/>
    <mergeCell ref="U58:V58"/>
    <mergeCell ref="O59:P59"/>
    <mergeCell ref="Q59:R59"/>
    <mergeCell ref="K58:L58"/>
    <mergeCell ref="M58:N58"/>
    <mergeCell ref="O58:P58"/>
    <mergeCell ref="Q58:R58"/>
    <mergeCell ref="G58:H58"/>
    <mergeCell ref="I58:J58"/>
    <mergeCell ref="G60:H60"/>
    <mergeCell ref="I60:J60"/>
    <mergeCell ref="K60:L60"/>
    <mergeCell ref="M60:N60"/>
    <mergeCell ref="G59:H59"/>
    <mergeCell ref="I59:J59"/>
    <mergeCell ref="K59:L59"/>
    <mergeCell ref="M59:N59"/>
    <mergeCell ref="O60:P60"/>
    <mergeCell ref="Q60:R60"/>
    <mergeCell ref="G61:H62"/>
    <mergeCell ref="I61:J62"/>
    <mergeCell ref="K61:L62"/>
    <mergeCell ref="M61:N62"/>
    <mergeCell ref="O61:P62"/>
    <mergeCell ref="Q61:R62"/>
    <mergeCell ref="J75:K75"/>
    <mergeCell ref="G22:J22"/>
    <mergeCell ref="K22:T22"/>
    <mergeCell ref="S61:T62"/>
    <mergeCell ref="U61:V62"/>
    <mergeCell ref="G63:H63"/>
    <mergeCell ref="J65:R66"/>
    <mergeCell ref="S65:V66"/>
    <mergeCell ref="J67:P68"/>
    <mergeCell ref="Q67:V68"/>
    <mergeCell ref="Q25:R25"/>
    <mergeCell ref="Q23:R23"/>
    <mergeCell ref="J69:P70"/>
    <mergeCell ref="Q69:V70"/>
    <mergeCell ref="J73:R74"/>
    <mergeCell ref="S73:V74"/>
    <mergeCell ref="S59:T59"/>
    <mergeCell ref="U59:V59"/>
    <mergeCell ref="S60:T60"/>
    <mergeCell ref="U60:V60"/>
  </mergeCells>
  <dataValidations count="1">
    <dataValidation type="list" allowBlank="1" showInputMessage="1" showErrorMessage="1" sqref="S27:T57">
      <formula1>time</formula1>
    </dataValidation>
  </dataValidations>
  <printOptions/>
  <pageMargins left="0.7" right="0.7" top="0.75" bottom="0.75" header="0.3" footer="0.3"/>
  <pageSetup fitToHeight="1" fitToWidth="1" horizontalDpi="600" verticalDpi="600" orientation="portrait"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80"/>
  <sheetViews>
    <sheetView zoomScale="150" zoomScaleNormal="150" zoomScalePageLayoutView="0" workbookViewId="0" topLeftCell="A1">
      <selection activeCell="D3" sqref="D3"/>
    </sheetView>
  </sheetViews>
  <sheetFormatPr defaultColWidth="9.140625" defaultRowHeight="15"/>
  <cols>
    <col min="1" max="19" width="4.7109375" style="0" customWidth="1"/>
    <col min="20" max="20" width="5.57421875" style="0" customWidth="1"/>
    <col min="21" max="22" width="4.7109375" style="0" customWidth="1"/>
  </cols>
  <sheetData>
    <row r="1" spans="1:22" s="201" customFormat="1" ht="15">
      <c r="A1" s="199"/>
      <c r="B1" s="200"/>
      <c r="C1" s="200"/>
      <c r="E1" s="200"/>
      <c r="F1" s="200"/>
      <c r="G1" s="200"/>
      <c r="H1" s="200"/>
      <c r="I1" s="200"/>
      <c r="J1" s="200"/>
      <c r="K1" s="200"/>
      <c r="L1" s="200"/>
      <c r="M1" s="200"/>
      <c r="N1" s="200"/>
      <c r="O1" s="200"/>
      <c r="P1" s="200"/>
      <c r="Q1" s="200"/>
      <c r="R1" s="200"/>
      <c r="S1" s="200"/>
      <c r="T1" s="200"/>
      <c r="U1" s="200"/>
      <c r="V1" s="200"/>
    </row>
    <row r="2" spans="1:22" s="201" customFormat="1" ht="15">
      <c r="A2" s="199"/>
      <c r="B2" s="202"/>
      <c r="C2" s="202"/>
      <c r="D2" s="203" t="s">
        <v>41</v>
      </c>
      <c r="E2" s="202"/>
      <c r="F2" s="202"/>
      <c r="G2" s="202"/>
      <c r="H2" s="202"/>
      <c r="I2" s="202"/>
      <c r="J2" s="202"/>
      <c r="K2" s="202"/>
      <c r="L2" s="202"/>
      <c r="M2" s="202"/>
      <c r="N2" s="202"/>
      <c r="O2" s="202"/>
      <c r="P2" s="202"/>
      <c r="Q2" s="202"/>
      <c r="R2" s="202"/>
      <c r="S2" s="202"/>
      <c r="T2" s="202"/>
      <c r="U2" s="202"/>
      <c r="V2" s="202"/>
    </row>
    <row r="3" spans="1:22" s="201" customFormat="1" ht="15">
      <c r="A3" s="199"/>
      <c r="B3" s="204"/>
      <c r="C3" s="204"/>
      <c r="D3" s="205" t="s">
        <v>176</v>
      </c>
      <c r="E3" s="204"/>
      <c r="F3" s="204"/>
      <c r="G3" s="204"/>
      <c r="H3" s="204"/>
      <c r="I3" s="204"/>
      <c r="J3" s="204"/>
      <c r="K3" s="204"/>
      <c r="L3" s="204"/>
      <c r="M3" s="204"/>
      <c r="N3" s="204"/>
      <c r="O3" s="204"/>
      <c r="P3" s="204"/>
      <c r="Q3" s="204"/>
      <c r="R3" s="204"/>
      <c r="S3" s="204"/>
      <c r="T3" s="204"/>
      <c r="U3" s="204"/>
      <c r="V3" s="204"/>
    </row>
    <row r="4" spans="1:22" s="201" customFormat="1" ht="10.5" customHeight="1">
      <c r="A4" s="206" t="s">
        <v>0</v>
      </c>
      <c r="B4" s="206"/>
      <c r="C4" s="206"/>
      <c r="D4" s="207" t="s">
        <v>1</v>
      </c>
      <c r="E4" s="208"/>
      <c r="F4" s="208"/>
      <c r="G4" s="208"/>
      <c r="H4" s="208"/>
      <c r="I4" s="208"/>
      <c r="J4" s="208"/>
      <c r="K4" s="208"/>
      <c r="L4" s="209"/>
      <c r="M4" s="206"/>
      <c r="N4" s="281" t="s">
        <v>166</v>
      </c>
      <c r="O4" s="282"/>
      <c r="P4" s="282"/>
      <c r="Q4" s="282"/>
      <c r="R4" s="282"/>
      <c r="S4" s="282"/>
      <c r="T4" s="282"/>
      <c r="U4" s="282"/>
      <c r="V4" s="282"/>
    </row>
    <row r="5" spans="1:24" s="201" customFormat="1" ht="10.5" customHeight="1">
      <c r="A5" s="206"/>
      <c r="B5" s="11"/>
      <c r="C5" s="11"/>
      <c r="D5" s="470">
        <f>IF('MMR-Page1'!D5="","",'MMR-Page1'!D5)</f>
      </c>
      <c r="E5" s="471"/>
      <c r="F5" s="471"/>
      <c r="G5" s="471"/>
      <c r="H5" s="471"/>
      <c r="I5" s="471"/>
      <c r="J5" s="471"/>
      <c r="K5" s="471"/>
      <c r="L5" s="472"/>
      <c r="M5" s="206"/>
      <c r="N5" s="281" t="s">
        <v>168</v>
      </c>
      <c r="O5" s="282"/>
      <c r="P5" s="282"/>
      <c r="Q5" s="282"/>
      <c r="R5" s="282"/>
      <c r="S5" s="282"/>
      <c r="T5" s="282"/>
      <c r="U5" s="282"/>
      <c r="V5" s="282"/>
      <c r="X5" s="283"/>
    </row>
    <row r="6" spans="1:24" s="201" customFormat="1" ht="10.5" customHeight="1">
      <c r="A6" s="206"/>
      <c r="B6" s="11"/>
      <c r="C6" s="11"/>
      <c r="D6" s="473">
        <f>IF('MMR-Page1'!D6="","",'MMR-Page1'!D6)</f>
      </c>
      <c r="E6" s="474"/>
      <c r="F6" s="474"/>
      <c r="G6" s="474"/>
      <c r="H6" s="474"/>
      <c r="I6" s="474"/>
      <c r="J6" s="474"/>
      <c r="K6" s="474"/>
      <c r="L6" s="475"/>
      <c r="M6" s="206"/>
      <c r="N6" s="281" t="s">
        <v>169</v>
      </c>
      <c r="O6" s="282"/>
      <c r="P6" s="282"/>
      <c r="Q6" s="282"/>
      <c r="R6" s="282"/>
      <c r="S6" s="282"/>
      <c r="T6" s="282"/>
      <c r="U6" s="282"/>
      <c r="V6" s="282"/>
      <c r="X6" s="284"/>
    </row>
    <row r="7" spans="1:22" s="201" customFormat="1" ht="10.5" customHeight="1">
      <c r="A7" s="206"/>
      <c r="B7" s="11"/>
      <c r="C7" s="11"/>
      <c r="D7" s="473">
        <f>IF('MMR-Page1'!D7="","",'MMR-Page1'!D7)</f>
      </c>
      <c r="E7" s="474"/>
      <c r="F7" s="474"/>
      <c r="G7" s="474"/>
      <c r="H7" s="474"/>
      <c r="I7" s="474"/>
      <c r="J7" s="474"/>
      <c r="K7" s="474"/>
      <c r="L7" s="475"/>
      <c r="M7" s="206"/>
      <c r="N7" s="281" t="s">
        <v>170</v>
      </c>
      <c r="O7" s="282"/>
      <c r="P7" s="282"/>
      <c r="Q7" s="282"/>
      <c r="R7" s="282"/>
      <c r="S7" s="282"/>
      <c r="T7" s="282"/>
      <c r="U7" s="282"/>
      <c r="V7" s="282"/>
    </row>
    <row r="8" spans="1:22" s="201" customFormat="1" ht="10.5" customHeight="1">
      <c r="A8" s="206"/>
      <c r="B8" s="11"/>
      <c r="C8" s="11"/>
      <c r="D8" s="473">
        <f>IF('MMR-Page1'!D8="","",'MMR-Page1'!D8)</f>
      </c>
      <c r="E8" s="474"/>
      <c r="F8" s="474"/>
      <c r="G8" s="474"/>
      <c r="H8" s="474"/>
      <c r="I8" s="474"/>
      <c r="J8" s="474"/>
      <c r="K8" s="474"/>
      <c r="L8" s="475"/>
      <c r="M8" s="206"/>
      <c r="N8" s="281" t="s">
        <v>167</v>
      </c>
      <c r="O8" s="282"/>
      <c r="P8" s="282"/>
      <c r="Q8" s="282"/>
      <c r="R8" s="282"/>
      <c r="S8" s="282"/>
      <c r="T8" s="282"/>
      <c r="U8" s="282"/>
      <c r="V8" s="282"/>
    </row>
    <row r="9" spans="1:22" s="201" customFormat="1" ht="10.5" customHeight="1">
      <c r="A9" s="206"/>
      <c r="B9" s="11"/>
      <c r="C9" s="11"/>
      <c r="D9" s="473">
        <f>IF('MMR-Page1'!D9="","",'MMR-Page1'!D9)</f>
      </c>
      <c r="E9" s="474"/>
      <c r="F9" s="474"/>
      <c r="G9" s="474"/>
      <c r="H9" s="474"/>
      <c r="I9" s="474"/>
      <c r="J9" s="474"/>
      <c r="K9" s="474"/>
      <c r="L9" s="475"/>
      <c r="M9" s="206"/>
      <c r="N9" s="281" t="s">
        <v>172</v>
      </c>
      <c r="O9" s="282"/>
      <c r="P9" s="282"/>
      <c r="Q9" s="282"/>
      <c r="R9" s="282"/>
      <c r="S9" s="282"/>
      <c r="T9" s="282"/>
      <c r="U9" s="282"/>
      <c r="V9" s="282"/>
    </row>
    <row r="10" spans="1:22" s="201" customFormat="1" ht="10.5" customHeight="1">
      <c r="A10" s="206"/>
      <c r="B10" s="11"/>
      <c r="C10" s="11"/>
      <c r="D10" s="473">
        <f>IF('MMR-Page1'!D10="","",'MMR-Page1'!D10)</f>
      </c>
      <c r="E10" s="474"/>
      <c r="F10" s="474"/>
      <c r="G10" s="474"/>
      <c r="H10" s="474"/>
      <c r="I10" s="474"/>
      <c r="J10" s="474"/>
      <c r="K10" s="474"/>
      <c r="L10" s="475"/>
      <c r="M10" s="206"/>
      <c r="N10" s="206"/>
      <c r="O10" s="206"/>
      <c r="P10" s="210"/>
      <c r="Q10" s="206"/>
      <c r="R10" s="206"/>
      <c r="S10" s="206"/>
      <c r="T10" s="206"/>
      <c r="U10" s="206"/>
      <c r="V10" s="206"/>
    </row>
    <row r="11" spans="1:22" s="201" customFormat="1" ht="10.5" customHeight="1">
      <c r="A11" s="206"/>
      <c r="B11" s="11"/>
      <c r="C11" s="11"/>
      <c r="D11" s="575">
        <f>IF('MMR-Page1'!D11="","",'MMR-Page1'!D11)</f>
      </c>
      <c r="E11" s="576"/>
      <c r="F11" s="576"/>
      <c r="G11" s="576"/>
      <c r="H11" s="576"/>
      <c r="I11" s="576"/>
      <c r="J11" s="576"/>
      <c r="K11" s="576"/>
      <c r="L11" s="577"/>
      <c r="M11" s="206"/>
      <c r="N11" s="479" t="s">
        <v>2</v>
      </c>
      <c r="O11" s="461"/>
      <c r="P11" s="461"/>
      <c r="Q11" s="461">
        <f>IF('MMR-Page1'!Q11="","",'MMR-Page1'!Q11)</f>
      </c>
      <c r="R11" s="462"/>
      <c r="S11" s="462"/>
      <c r="T11" s="462"/>
      <c r="U11" s="462"/>
      <c r="V11" s="463"/>
    </row>
    <row r="12" spans="1:22" s="201" customFormat="1" ht="10.5" customHeight="1">
      <c r="A12" s="206"/>
      <c r="B12" s="206"/>
      <c r="C12" s="206"/>
      <c r="D12" s="206"/>
      <c r="E12" s="206"/>
      <c r="F12" s="206"/>
      <c r="G12" s="206"/>
      <c r="H12" s="206"/>
      <c r="I12" s="206"/>
      <c r="J12" s="206"/>
      <c r="K12" s="206"/>
      <c r="L12" s="206"/>
      <c r="M12" s="206"/>
      <c r="N12" s="11"/>
      <c r="O12" s="11"/>
      <c r="P12" s="11"/>
      <c r="Q12" s="12"/>
      <c r="R12" s="12"/>
      <c r="S12" s="12"/>
      <c r="T12" s="12"/>
      <c r="U12" s="12"/>
      <c r="V12" s="12"/>
    </row>
    <row r="13" spans="1:22" s="201" customFormat="1" ht="10.5" customHeight="1">
      <c r="A13" s="211" t="s">
        <v>3</v>
      </c>
      <c r="B13" s="211" t="s">
        <v>4</v>
      </c>
      <c r="C13" s="212">
        <f>'MMR-Page1'!C13</f>
        <v>0</v>
      </c>
      <c r="D13" s="212">
        <f>'MMR-Page1'!D13</f>
        <v>0</v>
      </c>
      <c r="E13" s="212" t="str">
        <f>'MMR-Page1'!E13</f>
        <v>   </v>
      </c>
      <c r="F13" s="212">
        <f>'MMR-Page1'!F13</f>
        <v>0</v>
      </c>
      <c r="G13" s="212">
        <f>'MMR-Page1'!G13</f>
        <v>0</v>
      </c>
      <c r="H13" s="212">
        <f>'MMR-Page1'!H13</f>
        <v>0</v>
      </c>
      <c r="I13" s="212">
        <f>'MMR-Page1'!I13</f>
        <v>0</v>
      </c>
      <c r="J13" s="213"/>
      <c r="K13" s="212">
        <f>'MMR-Page1'!K13</f>
        <v>0</v>
      </c>
      <c r="L13" s="212">
        <f>'MMR-Page1'!L13</f>
        <v>0</v>
      </c>
      <c r="M13" s="212">
        <f>'MMR-Page1'!M13</f>
        <v>0</v>
      </c>
      <c r="N13" s="212" t="s">
        <v>74</v>
      </c>
      <c r="O13" s="213"/>
      <c r="P13" s="212">
        <f>'MMR-Page1'!P13</f>
        <v>0</v>
      </c>
      <c r="Q13" s="212">
        <f>'MMR-Page1'!Q13</f>
        <v>5</v>
      </c>
      <c r="R13" s="212">
        <f>'MMR-Page1'!R13</f>
        <v>1</v>
      </c>
      <c r="S13" s="212">
        <f>'MMR-Page1'!S13</f>
        <v>6</v>
      </c>
      <c r="T13" s="206"/>
      <c r="U13" s="206"/>
      <c r="V13" s="206"/>
    </row>
    <row r="14" spans="1:22" s="201" customFormat="1" ht="10.5" customHeight="1" thickBot="1">
      <c r="A14" s="464" t="s">
        <v>5</v>
      </c>
      <c r="B14" s="465"/>
      <c r="C14" s="465"/>
      <c r="D14" s="465"/>
      <c r="E14" s="465"/>
      <c r="F14" s="465"/>
      <c r="G14" s="465"/>
      <c r="H14" s="465"/>
      <c r="I14" s="466"/>
      <c r="J14" s="215"/>
      <c r="K14" s="464" t="s">
        <v>160</v>
      </c>
      <c r="L14" s="465"/>
      <c r="M14" s="465"/>
      <c r="N14" s="466"/>
      <c r="O14" s="215"/>
      <c r="P14" s="464" t="s">
        <v>161</v>
      </c>
      <c r="Q14" s="466"/>
      <c r="R14" s="464" t="s">
        <v>162</v>
      </c>
      <c r="S14" s="466"/>
      <c r="T14" s="215"/>
      <c r="U14" s="215"/>
      <c r="V14" s="215"/>
    </row>
    <row r="15" spans="1:22" ht="10.5" customHeight="1" thickBot="1">
      <c r="A15" s="5"/>
      <c r="B15" s="5"/>
      <c r="C15" s="5"/>
      <c r="D15" s="5"/>
      <c r="E15" s="5"/>
      <c r="F15" s="5"/>
      <c r="G15" s="5"/>
      <c r="H15" s="5"/>
      <c r="I15" s="5"/>
      <c r="J15" s="5"/>
      <c r="K15" s="5"/>
      <c r="L15" s="5"/>
      <c r="M15" s="5"/>
      <c r="N15" s="5"/>
      <c r="O15" s="5"/>
      <c r="P15" s="1"/>
      <c r="Q15" s="16"/>
      <c r="R15" s="17"/>
      <c r="S15" s="546" t="s">
        <v>6</v>
      </c>
      <c r="T15" s="547"/>
      <c r="U15" s="548"/>
      <c r="V15" s="126" t="str">
        <f>IF('MMR-Page1'!V15=TRUE,"Yes","No")</f>
        <v>No</v>
      </c>
    </row>
    <row r="16" spans="1:22" ht="10.5" customHeight="1" thickBot="1">
      <c r="A16" s="5"/>
      <c r="B16" s="5"/>
      <c r="C16" s="5"/>
      <c r="D16" s="5"/>
      <c r="E16" s="5"/>
      <c r="F16" s="5"/>
      <c r="G16" s="5"/>
      <c r="H16" s="5"/>
      <c r="I16" s="5"/>
      <c r="J16" s="5"/>
      <c r="K16" s="5"/>
      <c r="L16" s="5"/>
      <c r="M16" s="5"/>
      <c r="N16" s="5"/>
      <c r="O16" s="5"/>
      <c r="P16" s="1"/>
      <c r="Q16" s="16"/>
      <c r="R16" s="9" t="s">
        <v>7</v>
      </c>
      <c r="S16" s="9"/>
      <c r="T16" s="9"/>
      <c r="U16" s="29"/>
      <c r="V16" s="126" t="str">
        <f>IF('MMR-Page1'!V16=TRUE,"Yes","No")</f>
        <v>No</v>
      </c>
    </row>
    <row r="17" spans="1:24" ht="10.5" customHeight="1">
      <c r="A17" s="88"/>
      <c r="B17" s="89"/>
      <c r="C17" s="95"/>
      <c r="D17" s="97"/>
      <c r="E17" s="96"/>
      <c r="F17" s="89"/>
      <c r="G17" s="578" t="s">
        <v>87</v>
      </c>
      <c r="H17" s="488"/>
      <c r="I17" s="488"/>
      <c r="J17" s="488"/>
      <c r="K17" s="488"/>
      <c r="L17" s="488"/>
      <c r="M17" s="488"/>
      <c r="N17" s="488"/>
      <c r="O17" s="488"/>
      <c r="P17" s="488"/>
      <c r="Q17" s="488"/>
      <c r="R17" s="488"/>
      <c r="S17" s="488"/>
      <c r="T17" s="488"/>
      <c r="U17" s="488"/>
      <c r="V17" s="491"/>
      <c r="X17" s="25"/>
    </row>
    <row r="18" spans="1:24" ht="15" customHeight="1" hidden="1">
      <c r="A18" s="88"/>
      <c r="B18" s="89"/>
      <c r="C18" s="89"/>
      <c r="D18" s="90"/>
      <c r="E18" s="89"/>
      <c r="F18" s="89"/>
      <c r="G18" s="579"/>
      <c r="H18" s="408"/>
      <c r="I18" s="408"/>
      <c r="J18" s="408"/>
      <c r="K18" s="408"/>
      <c r="L18" s="408"/>
      <c r="M18" s="408"/>
      <c r="N18" s="408"/>
      <c r="O18" s="408"/>
      <c r="P18" s="408"/>
      <c r="Q18" s="408"/>
      <c r="R18" s="408"/>
      <c r="S18" s="408"/>
      <c r="T18" s="408"/>
      <c r="U18" s="408"/>
      <c r="V18" s="409"/>
      <c r="X18" s="25"/>
    </row>
    <row r="19" spans="1:22" ht="15" customHeight="1" hidden="1">
      <c r="A19" s="89"/>
      <c r="B19" s="89"/>
      <c r="C19" s="89"/>
      <c r="D19" s="90"/>
      <c r="E19" s="89"/>
      <c r="F19" s="89"/>
      <c r="G19" s="98"/>
      <c r="H19" s="46"/>
      <c r="I19" s="46"/>
      <c r="J19" s="47"/>
      <c r="K19" s="38"/>
      <c r="L19" s="52"/>
      <c r="M19" s="51"/>
      <c r="N19" s="51"/>
      <c r="O19" s="51"/>
      <c r="P19" s="51"/>
      <c r="Q19" s="51"/>
      <c r="R19" s="51"/>
      <c r="S19" s="51"/>
      <c r="T19" s="51"/>
      <c r="U19" s="51"/>
      <c r="V19" s="28"/>
    </row>
    <row r="20" spans="1:22" ht="15" customHeight="1" hidden="1">
      <c r="A20" s="91"/>
      <c r="B20" s="92"/>
      <c r="C20" s="89"/>
      <c r="D20" s="90"/>
      <c r="E20" s="89"/>
      <c r="F20" s="89"/>
      <c r="G20" s="98"/>
      <c r="H20" s="46"/>
      <c r="I20" s="46"/>
      <c r="J20" s="47"/>
      <c r="K20" s="38"/>
      <c r="L20" s="52"/>
      <c r="M20" s="51"/>
      <c r="N20" s="51"/>
      <c r="O20" s="51"/>
      <c r="P20" s="51"/>
      <c r="Q20" s="51"/>
      <c r="R20" s="51"/>
      <c r="S20" s="51"/>
      <c r="T20" s="51"/>
      <c r="U20" s="51"/>
      <c r="V20" s="28"/>
    </row>
    <row r="21" spans="1:22" ht="15" customHeight="1" hidden="1">
      <c r="A21" s="91"/>
      <c r="B21" s="92"/>
      <c r="C21" s="89"/>
      <c r="D21" s="90"/>
      <c r="E21" s="89"/>
      <c r="F21" s="89"/>
      <c r="G21" s="51"/>
      <c r="H21" s="28"/>
      <c r="I21" s="27"/>
      <c r="J21" s="28"/>
      <c r="K21" s="38"/>
      <c r="L21" s="53"/>
      <c r="M21" s="51"/>
      <c r="N21" s="51"/>
      <c r="O21" s="51"/>
      <c r="P21" s="51"/>
      <c r="Q21" s="51"/>
      <c r="R21" s="51"/>
      <c r="S21" s="51"/>
      <c r="T21" s="51"/>
      <c r="U21" s="51"/>
      <c r="V21" s="28"/>
    </row>
    <row r="22" spans="1:22" ht="15" customHeight="1" hidden="1">
      <c r="A22" s="91"/>
      <c r="B22" s="92"/>
      <c r="C22" s="89"/>
      <c r="D22" s="90"/>
      <c r="E22" s="89"/>
      <c r="F22" s="89"/>
      <c r="G22" s="99"/>
      <c r="H22" s="41"/>
      <c r="I22" s="41"/>
      <c r="J22" s="42"/>
      <c r="K22" s="40"/>
      <c r="L22" s="50"/>
      <c r="M22" s="41"/>
      <c r="N22" s="50"/>
      <c r="O22" s="41"/>
      <c r="P22" s="50"/>
      <c r="Q22" s="41"/>
      <c r="R22" s="50"/>
      <c r="S22" s="41"/>
      <c r="T22" s="50"/>
      <c r="U22" s="51"/>
      <c r="V22" s="28"/>
    </row>
    <row r="23" spans="1:22" ht="15" customHeight="1" hidden="1">
      <c r="A23" s="91"/>
      <c r="B23" s="92"/>
      <c r="C23" s="89"/>
      <c r="D23" s="90"/>
      <c r="E23" s="89"/>
      <c r="F23" s="89"/>
      <c r="G23" s="100"/>
      <c r="H23" s="47"/>
      <c r="I23" s="48"/>
      <c r="J23" s="49"/>
      <c r="K23" s="45"/>
      <c r="L23" s="54"/>
      <c r="M23" s="45"/>
      <c r="N23" s="54"/>
      <c r="O23" s="45"/>
      <c r="P23" s="54"/>
      <c r="Q23" s="45"/>
      <c r="R23" s="54"/>
      <c r="S23" s="55"/>
      <c r="T23" s="58"/>
      <c r="U23" s="57"/>
      <c r="V23" s="30"/>
    </row>
    <row r="24" spans="1:22" ht="15" customHeight="1" hidden="1">
      <c r="A24" s="91"/>
      <c r="B24" s="92"/>
      <c r="C24" s="89"/>
      <c r="D24" s="90"/>
      <c r="E24" s="89"/>
      <c r="F24" s="89"/>
      <c r="G24" s="101"/>
      <c r="H24" s="44"/>
      <c r="I24" s="39"/>
      <c r="J24" s="43"/>
      <c r="K24" s="45"/>
      <c r="L24" s="54"/>
      <c r="M24" s="45"/>
      <c r="N24" s="54"/>
      <c r="O24" s="45"/>
      <c r="P24" s="54"/>
      <c r="Q24" s="45"/>
      <c r="R24" s="54"/>
      <c r="S24" s="56"/>
      <c r="T24" s="56"/>
      <c r="U24" s="57"/>
      <c r="V24" s="30"/>
    </row>
    <row r="25" spans="1:22" ht="15" customHeight="1" hidden="1">
      <c r="A25" s="91"/>
      <c r="B25" s="92"/>
      <c r="C25" s="92"/>
      <c r="D25" s="90"/>
      <c r="E25" s="92"/>
      <c r="F25" s="92"/>
      <c r="G25" s="101"/>
      <c r="H25" s="44"/>
      <c r="I25" s="39"/>
      <c r="J25" s="43"/>
      <c r="K25" s="45"/>
      <c r="L25" s="54"/>
      <c r="M25" s="45"/>
      <c r="N25" s="54"/>
      <c r="O25" s="45"/>
      <c r="P25" s="54"/>
      <c r="Q25" s="45"/>
      <c r="R25" s="54"/>
      <c r="S25" s="56"/>
      <c r="T25" s="56"/>
      <c r="U25" s="57"/>
      <c r="V25" s="30"/>
    </row>
    <row r="26" spans="1:24" ht="10.5" customHeight="1" hidden="1">
      <c r="A26" s="108" t="str">
        <f>CONCATENATE($P$13,$Q$13,"/",1,"/",$R$13,$S$13)</f>
        <v>05/1/16</v>
      </c>
      <c r="B26" s="109">
        <f>(+P13+Q13)*(R13+S13)</f>
        <v>35</v>
      </c>
      <c r="C26" s="95"/>
      <c r="D26" s="97"/>
      <c r="E26" s="580"/>
      <c r="F26" s="581"/>
      <c r="G26" s="581"/>
      <c r="H26" s="581"/>
      <c r="I26" s="581"/>
      <c r="J26" s="581"/>
      <c r="K26" s="581"/>
      <c r="L26" s="581"/>
      <c r="M26" s="581"/>
      <c r="N26" s="581"/>
      <c r="O26" s="581"/>
      <c r="P26" s="581"/>
      <c r="Q26" s="581"/>
      <c r="R26" s="581"/>
      <c r="S26" s="581"/>
      <c r="T26" s="581"/>
      <c r="U26" s="581"/>
      <c r="V26" s="582"/>
      <c r="X26" s="35"/>
    </row>
    <row r="27" spans="1:22" ht="10.5" customHeight="1">
      <c r="A27" s="121"/>
      <c r="B27" s="122"/>
      <c r="C27" s="60" t="str">
        <f>IF(+$B$26&gt;0,TEXT($A$26+$D27-1,"DDD"),"")</f>
        <v>Sun</v>
      </c>
      <c r="D27" s="94">
        <v>1</v>
      </c>
      <c r="E27" s="572"/>
      <c r="F27" s="573"/>
      <c r="G27" s="573"/>
      <c r="H27" s="573"/>
      <c r="I27" s="573"/>
      <c r="J27" s="573"/>
      <c r="K27" s="573"/>
      <c r="L27" s="573"/>
      <c r="M27" s="573"/>
      <c r="N27" s="573"/>
      <c r="O27" s="573"/>
      <c r="P27" s="573"/>
      <c r="Q27" s="573"/>
      <c r="R27" s="573"/>
      <c r="S27" s="573"/>
      <c r="T27" s="573"/>
      <c r="U27" s="573"/>
      <c r="V27" s="574"/>
    </row>
    <row r="28" spans="1:22" ht="10.5" customHeight="1">
      <c r="A28" s="67"/>
      <c r="B28" s="68"/>
      <c r="C28" s="60" t="str">
        <f aca="true" t="shared" si="0" ref="C28:C53">IF(+$B$26&gt;0,TEXT($A$26+$D28-1,"DDD"),"")</f>
        <v>Mon</v>
      </c>
      <c r="D28" s="94">
        <v>2</v>
      </c>
      <c r="E28" s="572"/>
      <c r="F28" s="573"/>
      <c r="G28" s="573"/>
      <c r="H28" s="573"/>
      <c r="I28" s="573"/>
      <c r="J28" s="573"/>
      <c r="K28" s="573"/>
      <c r="L28" s="573"/>
      <c r="M28" s="573"/>
      <c r="N28" s="573"/>
      <c r="O28" s="573"/>
      <c r="P28" s="573"/>
      <c r="Q28" s="573"/>
      <c r="R28" s="573"/>
      <c r="S28" s="573"/>
      <c r="T28" s="573"/>
      <c r="U28" s="573"/>
      <c r="V28" s="574"/>
    </row>
    <row r="29" spans="1:22" ht="10.5" customHeight="1">
      <c r="A29" s="67"/>
      <c r="B29" s="68"/>
      <c r="C29" s="60" t="str">
        <f t="shared" si="0"/>
        <v>Tue</v>
      </c>
      <c r="D29" s="94">
        <v>3</v>
      </c>
      <c r="E29" s="572"/>
      <c r="F29" s="573"/>
      <c r="G29" s="573"/>
      <c r="H29" s="573"/>
      <c r="I29" s="573"/>
      <c r="J29" s="573"/>
      <c r="K29" s="573"/>
      <c r="L29" s="573"/>
      <c r="M29" s="573"/>
      <c r="N29" s="573"/>
      <c r="O29" s="573"/>
      <c r="P29" s="573"/>
      <c r="Q29" s="573"/>
      <c r="R29" s="573"/>
      <c r="S29" s="573"/>
      <c r="T29" s="573"/>
      <c r="U29" s="573"/>
      <c r="V29" s="574"/>
    </row>
    <row r="30" spans="1:22" ht="10.5" customHeight="1">
      <c r="A30" s="67"/>
      <c r="B30" s="68"/>
      <c r="C30" s="60" t="str">
        <f t="shared" si="0"/>
        <v>Wed</v>
      </c>
      <c r="D30" s="94">
        <v>4</v>
      </c>
      <c r="E30" s="572"/>
      <c r="F30" s="573"/>
      <c r="G30" s="573"/>
      <c r="H30" s="573"/>
      <c r="I30" s="573"/>
      <c r="J30" s="573"/>
      <c r="K30" s="573"/>
      <c r="L30" s="573"/>
      <c r="M30" s="573"/>
      <c r="N30" s="573"/>
      <c r="O30" s="573"/>
      <c r="P30" s="573"/>
      <c r="Q30" s="573"/>
      <c r="R30" s="573"/>
      <c r="S30" s="573"/>
      <c r="T30" s="573"/>
      <c r="U30" s="573"/>
      <c r="V30" s="574"/>
    </row>
    <row r="31" spans="1:22" ht="11.25" customHeight="1">
      <c r="A31" s="67"/>
      <c r="B31" s="68"/>
      <c r="C31" s="60" t="str">
        <f t="shared" si="0"/>
        <v>Thu</v>
      </c>
      <c r="D31" s="94">
        <v>5</v>
      </c>
      <c r="E31" s="572"/>
      <c r="F31" s="573"/>
      <c r="G31" s="573"/>
      <c r="H31" s="573"/>
      <c r="I31" s="573"/>
      <c r="J31" s="573"/>
      <c r="K31" s="573"/>
      <c r="L31" s="573"/>
      <c r="M31" s="573"/>
      <c r="N31" s="573"/>
      <c r="O31" s="573"/>
      <c r="P31" s="573"/>
      <c r="Q31" s="573"/>
      <c r="R31" s="573"/>
      <c r="S31" s="573"/>
      <c r="T31" s="573"/>
      <c r="U31" s="573"/>
      <c r="V31" s="574"/>
    </row>
    <row r="32" spans="1:22" ht="10.5" customHeight="1">
      <c r="A32" s="67"/>
      <c r="B32" s="68"/>
      <c r="C32" s="60" t="str">
        <f t="shared" si="0"/>
        <v>Fri</v>
      </c>
      <c r="D32" s="94">
        <v>6</v>
      </c>
      <c r="E32" s="572"/>
      <c r="F32" s="573"/>
      <c r="G32" s="573"/>
      <c r="H32" s="573"/>
      <c r="I32" s="573"/>
      <c r="J32" s="573"/>
      <c r="K32" s="573"/>
      <c r="L32" s="573"/>
      <c r="M32" s="573"/>
      <c r="N32" s="573"/>
      <c r="O32" s="573"/>
      <c r="P32" s="573"/>
      <c r="Q32" s="573"/>
      <c r="R32" s="573"/>
      <c r="S32" s="573"/>
      <c r="T32" s="573"/>
      <c r="U32" s="573"/>
      <c r="V32" s="574"/>
    </row>
    <row r="33" spans="1:22" ht="10.5" customHeight="1">
      <c r="A33" s="67"/>
      <c r="B33" s="68"/>
      <c r="C33" s="60" t="str">
        <f t="shared" si="0"/>
        <v>Sat</v>
      </c>
      <c r="D33" s="94">
        <v>7</v>
      </c>
      <c r="E33" s="572"/>
      <c r="F33" s="573"/>
      <c r="G33" s="573"/>
      <c r="H33" s="573"/>
      <c r="I33" s="573"/>
      <c r="J33" s="573"/>
      <c r="K33" s="573"/>
      <c r="L33" s="573"/>
      <c r="M33" s="573"/>
      <c r="N33" s="573"/>
      <c r="O33" s="573"/>
      <c r="P33" s="573"/>
      <c r="Q33" s="573"/>
      <c r="R33" s="573"/>
      <c r="S33" s="573"/>
      <c r="T33" s="573"/>
      <c r="U33" s="573"/>
      <c r="V33" s="574"/>
    </row>
    <row r="34" spans="1:22" ht="10.5" customHeight="1">
      <c r="A34" s="67"/>
      <c r="B34" s="68"/>
      <c r="C34" s="60" t="str">
        <f t="shared" si="0"/>
        <v>Sun</v>
      </c>
      <c r="D34" s="94">
        <v>8</v>
      </c>
      <c r="E34" s="572"/>
      <c r="F34" s="573"/>
      <c r="G34" s="573"/>
      <c r="H34" s="573"/>
      <c r="I34" s="573"/>
      <c r="J34" s="573"/>
      <c r="K34" s="573"/>
      <c r="L34" s="573"/>
      <c r="M34" s="573"/>
      <c r="N34" s="573"/>
      <c r="O34" s="573"/>
      <c r="P34" s="573"/>
      <c r="Q34" s="573"/>
      <c r="R34" s="573"/>
      <c r="S34" s="573"/>
      <c r="T34" s="573"/>
      <c r="U34" s="573"/>
      <c r="V34" s="574"/>
    </row>
    <row r="35" spans="1:22" ht="10.5" customHeight="1">
      <c r="A35" s="67"/>
      <c r="B35" s="68"/>
      <c r="C35" s="60" t="str">
        <f t="shared" si="0"/>
        <v>Mon</v>
      </c>
      <c r="D35" s="94">
        <v>9</v>
      </c>
      <c r="E35" s="572"/>
      <c r="F35" s="573"/>
      <c r="G35" s="573"/>
      <c r="H35" s="573"/>
      <c r="I35" s="573"/>
      <c r="J35" s="573"/>
      <c r="K35" s="573"/>
      <c r="L35" s="573"/>
      <c r="M35" s="573"/>
      <c r="N35" s="573"/>
      <c r="O35" s="573"/>
      <c r="P35" s="573"/>
      <c r="Q35" s="573"/>
      <c r="R35" s="573"/>
      <c r="S35" s="573"/>
      <c r="T35" s="573"/>
      <c r="U35" s="573"/>
      <c r="V35" s="574"/>
    </row>
    <row r="36" spans="1:22" ht="10.5" customHeight="1">
      <c r="A36" s="67"/>
      <c r="B36" s="68"/>
      <c r="C36" s="60" t="str">
        <f t="shared" si="0"/>
        <v>Tue</v>
      </c>
      <c r="D36" s="94">
        <v>10</v>
      </c>
      <c r="E36" s="572"/>
      <c r="F36" s="573"/>
      <c r="G36" s="573"/>
      <c r="H36" s="573"/>
      <c r="I36" s="573"/>
      <c r="J36" s="573"/>
      <c r="K36" s="573"/>
      <c r="L36" s="573"/>
      <c r="M36" s="573"/>
      <c r="N36" s="573"/>
      <c r="O36" s="573"/>
      <c r="P36" s="573"/>
      <c r="Q36" s="573"/>
      <c r="R36" s="573"/>
      <c r="S36" s="573"/>
      <c r="T36" s="573"/>
      <c r="U36" s="573"/>
      <c r="V36" s="574"/>
    </row>
    <row r="37" spans="1:22" ht="10.5" customHeight="1">
      <c r="A37" s="67"/>
      <c r="B37" s="68"/>
      <c r="C37" s="60" t="str">
        <f t="shared" si="0"/>
        <v>Wed</v>
      </c>
      <c r="D37" s="94">
        <v>11</v>
      </c>
      <c r="E37" s="572"/>
      <c r="F37" s="573"/>
      <c r="G37" s="573"/>
      <c r="H37" s="573"/>
      <c r="I37" s="573"/>
      <c r="J37" s="573"/>
      <c r="K37" s="573"/>
      <c r="L37" s="573"/>
      <c r="M37" s="573"/>
      <c r="N37" s="573"/>
      <c r="O37" s="573"/>
      <c r="P37" s="573"/>
      <c r="Q37" s="573"/>
      <c r="R37" s="573"/>
      <c r="S37" s="573"/>
      <c r="T37" s="573"/>
      <c r="U37" s="573"/>
      <c r="V37" s="574"/>
    </row>
    <row r="38" spans="1:22" ht="10.5" customHeight="1">
      <c r="A38" s="67"/>
      <c r="B38" s="68"/>
      <c r="C38" s="60" t="str">
        <f t="shared" si="0"/>
        <v>Thu</v>
      </c>
      <c r="D38" s="94">
        <v>12</v>
      </c>
      <c r="E38" s="572"/>
      <c r="F38" s="573"/>
      <c r="G38" s="573"/>
      <c r="H38" s="573"/>
      <c r="I38" s="573"/>
      <c r="J38" s="573"/>
      <c r="K38" s="573"/>
      <c r="L38" s="573"/>
      <c r="M38" s="573"/>
      <c r="N38" s="573"/>
      <c r="O38" s="573"/>
      <c r="P38" s="573"/>
      <c r="Q38" s="573"/>
      <c r="R38" s="573"/>
      <c r="S38" s="573"/>
      <c r="T38" s="573"/>
      <c r="U38" s="573"/>
      <c r="V38" s="574"/>
    </row>
    <row r="39" spans="1:22" ht="10.5" customHeight="1">
      <c r="A39" s="67"/>
      <c r="B39" s="68"/>
      <c r="C39" s="60" t="str">
        <f t="shared" si="0"/>
        <v>Fri</v>
      </c>
      <c r="D39" s="94">
        <v>13</v>
      </c>
      <c r="E39" s="572"/>
      <c r="F39" s="573"/>
      <c r="G39" s="573"/>
      <c r="H39" s="573"/>
      <c r="I39" s="573"/>
      <c r="J39" s="573"/>
      <c r="K39" s="573"/>
      <c r="L39" s="573"/>
      <c r="M39" s="573"/>
      <c r="N39" s="573"/>
      <c r="O39" s="573"/>
      <c r="P39" s="573"/>
      <c r="Q39" s="573"/>
      <c r="R39" s="573"/>
      <c r="S39" s="573"/>
      <c r="T39" s="573"/>
      <c r="U39" s="573"/>
      <c r="V39" s="574"/>
    </row>
    <row r="40" spans="1:22" ht="10.5" customHeight="1">
      <c r="A40" s="67"/>
      <c r="B40" s="68"/>
      <c r="C40" s="60" t="str">
        <f t="shared" si="0"/>
        <v>Sat</v>
      </c>
      <c r="D40" s="94">
        <v>14</v>
      </c>
      <c r="E40" s="572"/>
      <c r="F40" s="573"/>
      <c r="G40" s="573"/>
      <c r="H40" s="573"/>
      <c r="I40" s="573"/>
      <c r="J40" s="573"/>
      <c r="K40" s="573"/>
      <c r="L40" s="573"/>
      <c r="M40" s="573"/>
      <c r="N40" s="573"/>
      <c r="O40" s="573"/>
      <c r="P40" s="573"/>
      <c r="Q40" s="573"/>
      <c r="R40" s="573"/>
      <c r="S40" s="573"/>
      <c r="T40" s="573"/>
      <c r="U40" s="573"/>
      <c r="V40" s="574"/>
    </row>
    <row r="41" spans="1:22" ht="10.5" customHeight="1">
      <c r="A41" s="67"/>
      <c r="B41" s="68"/>
      <c r="C41" s="60" t="str">
        <f t="shared" si="0"/>
        <v>Sun</v>
      </c>
      <c r="D41" s="94">
        <v>15</v>
      </c>
      <c r="E41" s="572"/>
      <c r="F41" s="573"/>
      <c r="G41" s="573"/>
      <c r="H41" s="573"/>
      <c r="I41" s="573"/>
      <c r="J41" s="573"/>
      <c r="K41" s="573"/>
      <c r="L41" s="573"/>
      <c r="M41" s="573"/>
      <c r="N41" s="573"/>
      <c r="O41" s="573"/>
      <c r="P41" s="573"/>
      <c r="Q41" s="573"/>
      <c r="R41" s="573"/>
      <c r="S41" s="573"/>
      <c r="T41" s="573"/>
      <c r="U41" s="573"/>
      <c r="V41" s="574"/>
    </row>
    <row r="42" spans="1:22" ht="10.5" customHeight="1">
      <c r="A42" s="67"/>
      <c r="B42" s="68"/>
      <c r="C42" s="60" t="str">
        <f t="shared" si="0"/>
        <v>Mon</v>
      </c>
      <c r="D42" s="94">
        <v>16</v>
      </c>
      <c r="E42" s="572"/>
      <c r="F42" s="573"/>
      <c r="G42" s="573"/>
      <c r="H42" s="573"/>
      <c r="I42" s="573"/>
      <c r="J42" s="573"/>
      <c r="K42" s="573"/>
      <c r="L42" s="573"/>
      <c r="M42" s="573"/>
      <c r="N42" s="573"/>
      <c r="O42" s="573"/>
      <c r="P42" s="573"/>
      <c r="Q42" s="573"/>
      <c r="R42" s="573"/>
      <c r="S42" s="573"/>
      <c r="T42" s="573"/>
      <c r="U42" s="573"/>
      <c r="V42" s="574"/>
    </row>
    <row r="43" spans="1:22" ht="10.5" customHeight="1">
      <c r="A43" s="67"/>
      <c r="B43" s="68"/>
      <c r="C43" s="60" t="str">
        <f t="shared" si="0"/>
        <v>Tue</v>
      </c>
      <c r="D43" s="94">
        <v>17</v>
      </c>
      <c r="E43" s="572"/>
      <c r="F43" s="573"/>
      <c r="G43" s="573"/>
      <c r="H43" s="573"/>
      <c r="I43" s="573"/>
      <c r="J43" s="573"/>
      <c r="K43" s="573"/>
      <c r="L43" s="573"/>
      <c r="M43" s="573"/>
      <c r="N43" s="573"/>
      <c r="O43" s="573"/>
      <c r="P43" s="573"/>
      <c r="Q43" s="573"/>
      <c r="R43" s="573"/>
      <c r="S43" s="573"/>
      <c r="T43" s="573"/>
      <c r="U43" s="573"/>
      <c r="V43" s="574"/>
    </row>
    <row r="44" spans="1:22" ht="10.5" customHeight="1">
      <c r="A44" s="67"/>
      <c r="B44" s="68"/>
      <c r="C44" s="60" t="str">
        <f t="shared" si="0"/>
        <v>Wed</v>
      </c>
      <c r="D44" s="94">
        <v>18</v>
      </c>
      <c r="E44" s="572"/>
      <c r="F44" s="573"/>
      <c r="G44" s="573"/>
      <c r="H44" s="573"/>
      <c r="I44" s="573"/>
      <c r="J44" s="573"/>
      <c r="K44" s="573"/>
      <c r="L44" s="573"/>
      <c r="M44" s="573"/>
      <c r="N44" s="573"/>
      <c r="O44" s="573"/>
      <c r="P44" s="573"/>
      <c r="Q44" s="573"/>
      <c r="R44" s="573"/>
      <c r="S44" s="573"/>
      <c r="T44" s="573"/>
      <c r="U44" s="573"/>
      <c r="V44" s="574"/>
    </row>
    <row r="45" spans="1:22" ht="10.5" customHeight="1">
      <c r="A45" s="67"/>
      <c r="B45" s="68"/>
      <c r="C45" s="60" t="str">
        <f t="shared" si="0"/>
        <v>Thu</v>
      </c>
      <c r="D45" s="94">
        <v>19</v>
      </c>
      <c r="E45" s="572"/>
      <c r="F45" s="573"/>
      <c r="G45" s="573"/>
      <c r="H45" s="573"/>
      <c r="I45" s="573"/>
      <c r="J45" s="573"/>
      <c r="K45" s="573"/>
      <c r="L45" s="573"/>
      <c r="M45" s="573"/>
      <c r="N45" s="573"/>
      <c r="O45" s="573"/>
      <c r="P45" s="573"/>
      <c r="Q45" s="573"/>
      <c r="R45" s="573"/>
      <c r="S45" s="573"/>
      <c r="T45" s="573"/>
      <c r="U45" s="573"/>
      <c r="V45" s="574"/>
    </row>
    <row r="46" spans="1:22" ht="10.5" customHeight="1">
      <c r="A46" s="67"/>
      <c r="B46" s="68"/>
      <c r="C46" s="60" t="str">
        <f t="shared" si="0"/>
        <v>Fri</v>
      </c>
      <c r="D46" s="94">
        <v>20</v>
      </c>
      <c r="E46" s="572"/>
      <c r="F46" s="573"/>
      <c r="G46" s="573"/>
      <c r="H46" s="573"/>
      <c r="I46" s="573"/>
      <c r="J46" s="573"/>
      <c r="K46" s="573"/>
      <c r="L46" s="573"/>
      <c r="M46" s="573"/>
      <c r="N46" s="573"/>
      <c r="O46" s="573"/>
      <c r="P46" s="573"/>
      <c r="Q46" s="573"/>
      <c r="R46" s="573"/>
      <c r="S46" s="573"/>
      <c r="T46" s="573"/>
      <c r="U46" s="573"/>
      <c r="V46" s="574"/>
    </row>
    <row r="47" spans="1:22" ht="10.5" customHeight="1">
      <c r="A47" s="67"/>
      <c r="B47" s="68"/>
      <c r="C47" s="60" t="str">
        <f t="shared" si="0"/>
        <v>Sat</v>
      </c>
      <c r="D47" s="94">
        <v>21</v>
      </c>
      <c r="E47" s="572"/>
      <c r="F47" s="573"/>
      <c r="G47" s="573"/>
      <c r="H47" s="573"/>
      <c r="I47" s="573"/>
      <c r="J47" s="573"/>
      <c r="K47" s="573"/>
      <c r="L47" s="573"/>
      <c r="M47" s="573"/>
      <c r="N47" s="573"/>
      <c r="O47" s="573"/>
      <c r="P47" s="573"/>
      <c r="Q47" s="573"/>
      <c r="R47" s="573"/>
      <c r="S47" s="573"/>
      <c r="T47" s="573"/>
      <c r="U47" s="573"/>
      <c r="V47" s="574"/>
    </row>
    <row r="48" spans="1:22" ht="10.5" customHeight="1">
      <c r="A48" s="67"/>
      <c r="B48" s="68"/>
      <c r="C48" s="60" t="str">
        <f t="shared" si="0"/>
        <v>Sun</v>
      </c>
      <c r="D48" s="94">
        <v>22</v>
      </c>
      <c r="E48" s="572"/>
      <c r="F48" s="573"/>
      <c r="G48" s="573"/>
      <c r="H48" s="573"/>
      <c r="I48" s="573"/>
      <c r="J48" s="573"/>
      <c r="K48" s="573"/>
      <c r="L48" s="573"/>
      <c r="M48" s="573"/>
      <c r="N48" s="573"/>
      <c r="O48" s="573"/>
      <c r="P48" s="573"/>
      <c r="Q48" s="573"/>
      <c r="R48" s="573"/>
      <c r="S48" s="573"/>
      <c r="T48" s="573"/>
      <c r="U48" s="573"/>
      <c r="V48" s="574"/>
    </row>
    <row r="49" spans="1:22" ht="10.5" customHeight="1">
      <c r="A49" s="67"/>
      <c r="B49" s="68"/>
      <c r="C49" s="60" t="str">
        <f t="shared" si="0"/>
        <v>Mon</v>
      </c>
      <c r="D49" s="94">
        <v>23</v>
      </c>
      <c r="E49" s="572"/>
      <c r="F49" s="573"/>
      <c r="G49" s="573"/>
      <c r="H49" s="573"/>
      <c r="I49" s="573"/>
      <c r="J49" s="573"/>
      <c r="K49" s="573"/>
      <c r="L49" s="573"/>
      <c r="M49" s="573"/>
      <c r="N49" s="573"/>
      <c r="O49" s="573"/>
      <c r="P49" s="573"/>
      <c r="Q49" s="573"/>
      <c r="R49" s="573"/>
      <c r="S49" s="573"/>
      <c r="T49" s="573"/>
      <c r="U49" s="573"/>
      <c r="V49" s="574"/>
    </row>
    <row r="50" spans="1:22" ht="10.5" customHeight="1">
      <c r="A50" s="67"/>
      <c r="B50" s="68"/>
      <c r="C50" s="60" t="str">
        <f t="shared" si="0"/>
        <v>Tue</v>
      </c>
      <c r="D50" s="94">
        <v>24</v>
      </c>
      <c r="E50" s="572"/>
      <c r="F50" s="573"/>
      <c r="G50" s="573"/>
      <c r="H50" s="573"/>
      <c r="I50" s="573"/>
      <c r="J50" s="573"/>
      <c r="K50" s="573"/>
      <c r="L50" s="573"/>
      <c r="M50" s="573"/>
      <c r="N50" s="573"/>
      <c r="O50" s="573"/>
      <c r="P50" s="573"/>
      <c r="Q50" s="573"/>
      <c r="R50" s="573"/>
      <c r="S50" s="573"/>
      <c r="T50" s="573"/>
      <c r="U50" s="573"/>
      <c r="V50" s="574"/>
    </row>
    <row r="51" spans="1:22" ht="10.5" customHeight="1">
      <c r="A51" s="67"/>
      <c r="B51" s="68"/>
      <c r="C51" s="60" t="str">
        <f t="shared" si="0"/>
        <v>Wed</v>
      </c>
      <c r="D51" s="94">
        <v>25</v>
      </c>
      <c r="E51" s="572"/>
      <c r="F51" s="573"/>
      <c r="G51" s="573"/>
      <c r="H51" s="573"/>
      <c r="I51" s="573"/>
      <c r="J51" s="573"/>
      <c r="K51" s="573"/>
      <c r="L51" s="573"/>
      <c r="M51" s="573"/>
      <c r="N51" s="573"/>
      <c r="O51" s="573"/>
      <c r="P51" s="573"/>
      <c r="Q51" s="573"/>
      <c r="R51" s="573"/>
      <c r="S51" s="573"/>
      <c r="T51" s="573"/>
      <c r="U51" s="573"/>
      <c r="V51" s="574"/>
    </row>
    <row r="52" spans="1:22" ht="10.5" customHeight="1">
      <c r="A52" s="67"/>
      <c r="B52" s="68"/>
      <c r="C52" s="60" t="str">
        <f t="shared" si="0"/>
        <v>Thu</v>
      </c>
      <c r="D52" s="94">
        <v>26</v>
      </c>
      <c r="E52" s="572"/>
      <c r="F52" s="573"/>
      <c r="G52" s="573"/>
      <c r="H52" s="573"/>
      <c r="I52" s="573"/>
      <c r="J52" s="573"/>
      <c r="K52" s="573"/>
      <c r="L52" s="573"/>
      <c r="M52" s="573"/>
      <c r="N52" s="573"/>
      <c r="O52" s="573"/>
      <c r="P52" s="573"/>
      <c r="Q52" s="573"/>
      <c r="R52" s="573"/>
      <c r="S52" s="573"/>
      <c r="T52" s="573"/>
      <c r="U52" s="573"/>
      <c r="V52" s="574"/>
    </row>
    <row r="53" spans="1:22" ht="10.5" customHeight="1">
      <c r="A53" s="67"/>
      <c r="B53" s="68"/>
      <c r="C53" s="60" t="str">
        <f t="shared" si="0"/>
        <v>Fri</v>
      </c>
      <c r="D53" s="94">
        <v>27</v>
      </c>
      <c r="E53" s="572"/>
      <c r="F53" s="573"/>
      <c r="G53" s="573"/>
      <c r="H53" s="573"/>
      <c r="I53" s="573"/>
      <c r="J53" s="573"/>
      <c r="K53" s="573"/>
      <c r="L53" s="573"/>
      <c r="M53" s="573"/>
      <c r="N53" s="573"/>
      <c r="O53" s="573"/>
      <c r="P53" s="573"/>
      <c r="Q53" s="573"/>
      <c r="R53" s="573"/>
      <c r="S53" s="573"/>
      <c r="T53" s="573"/>
      <c r="U53" s="573"/>
      <c r="V53" s="574"/>
    </row>
    <row r="54" spans="1:22" ht="10.5" customHeight="1">
      <c r="A54" s="67"/>
      <c r="B54" s="68"/>
      <c r="C54" s="60" t="str">
        <f>IF(+$B$26&gt;0,TEXT($A$26+$D54-1,"DDD"),"")</f>
        <v>Sat</v>
      </c>
      <c r="D54" s="94">
        <v>28</v>
      </c>
      <c r="E54" s="572"/>
      <c r="F54" s="573"/>
      <c r="G54" s="573"/>
      <c r="H54" s="573"/>
      <c r="I54" s="573"/>
      <c r="J54" s="573"/>
      <c r="K54" s="573"/>
      <c r="L54" s="573"/>
      <c r="M54" s="573"/>
      <c r="N54" s="573"/>
      <c r="O54" s="573"/>
      <c r="P54" s="573"/>
      <c r="Q54" s="573"/>
      <c r="R54" s="573"/>
      <c r="S54" s="573"/>
      <c r="T54" s="573"/>
      <c r="U54" s="573"/>
      <c r="V54" s="574"/>
    </row>
    <row r="55" spans="1:22" ht="10.5" customHeight="1">
      <c r="A55" s="67"/>
      <c r="B55" s="68"/>
      <c r="C55" s="60" t="str">
        <f>IF(+$B$26&gt;0,TEXT($A$26+$D55-1,"DDD"),"")</f>
        <v>Sun</v>
      </c>
      <c r="D55" s="94">
        <f>IF(10*$P$13+$Q$13&lt;&gt;2,29,IF(INT(($R$13+$S$13)/4)=($R$13+$S$13)/4,29,""))</f>
        <v>29</v>
      </c>
      <c r="E55" s="572"/>
      <c r="F55" s="573"/>
      <c r="G55" s="573"/>
      <c r="H55" s="573"/>
      <c r="I55" s="573"/>
      <c r="J55" s="573"/>
      <c r="K55" s="573"/>
      <c r="L55" s="573"/>
      <c r="M55" s="573"/>
      <c r="N55" s="573"/>
      <c r="O55" s="573"/>
      <c r="P55" s="573"/>
      <c r="Q55" s="573"/>
      <c r="R55" s="573"/>
      <c r="S55" s="573"/>
      <c r="T55" s="573"/>
      <c r="U55" s="573"/>
      <c r="V55" s="574"/>
    </row>
    <row r="56" spans="1:22" ht="10.5" customHeight="1">
      <c r="A56" s="67"/>
      <c r="B56" s="68"/>
      <c r="C56" s="60" t="str">
        <f>IF(+$B$26&gt;0,TEXT($A$26+$D56-1,"DDD"),"")</f>
        <v>Mon</v>
      </c>
      <c r="D56" s="94">
        <f>IF(10*$P$13+$Q$13&lt;&gt;2,30,"")</f>
        <v>30</v>
      </c>
      <c r="E56" s="572"/>
      <c r="F56" s="573"/>
      <c r="G56" s="573"/>
      <c r="H56" s="573"/>
      <c r="I56" s="573"/>
      <c r="J56" s="573"/>
      <c r="K56" s="573"/>
      <c r="L56" s="573"/>
      <c r="M56" s="573"/>
      <c r="N56" s="573"/>
      <c r="O56" s="573"/>
      <c r="P56" s="573"/>
      <c r="Q56" s="573"/>
      <c r="R56" s="573"/>
      <c r="S56" s="573"/>
      <c r="T56" s="573"/>
      <c r="U56" s="573"/>
      <c r="V56" s="574"/>
    </row>
    <row r="57" spans="1:22" ht="10.5" customHeight="1">
      <c r="A57" s="63"/>
      <c r="B57" s="69"/>
      <c r="C57" s="60" t="str">
        <f>IF(AND($D$57=31,$B$26&gt;0),TEXT($A$26+$D57-1,"DDD"),"")</f>
        <v>Tue</v>
      </c>
      <c r="D57" s="94">
        <f>IF(OR($P$13+$Q$13=1,$Q$13=5,$Q$13=7,$Q$13=8,$P$13+$Q$13=3),31,"")</f>
        <v>31</v>
      </c>
      <c r="E57" s="572"/>
      <c r="F57" s="573"/>
      <c r="G57" s="573"/>
      <c r="H57" s="573"/>
      <c r="I57" s="573"/>
      <c r="J57" s="573"/>
      <c r="K57" s="573"/>
      <c r="L57" s="573"/>
      <c r="M57" s="573"/>
      <c r="N57" s="573"/>
      <c r="O57" s="573"/>
      <c r="P57" s="573"/>
      <c r="Q57" s="573"/>
      <c r="R57" s="573"/>
      <c r="S57" s="573"/>
      <c r="T57" s="573"/>
      <c r="U57" s="573"/>
      <c r="V57" s="574"/>
    </row>
    <row r="58" spans="1:22" s="201" customFormat="1" ht="10.5" customHeight="1">
      <c r="A58" s="187"/>
      <c r="B58" s="188"/>
      <c r="C58" s="186"/>
      <c r="D58" s="302"/>
      <c r="E58" s="303"/>
      <c r="F58" s="303" t="s">
        <v>0</v>
      </c>
      <c r="G58" s="583"/>
      <c r="H58" s="583"/>
      <c r="I58" s="584"/>
      <c r="J58" s="584"/>
      <c r="K58" s="571"/>
      <c r="L58" s="571"/>
      <c r="M58" s="571"/>
      <c r="N58" s="571"/>
      <c r="O58" s="571"/>
      <c r="P58" s="571"/>
      <c r="Q58" s="571"/>
      <c r="R58" s="571"/>
      <c r="S58" s="571"/>
      <c r="T58" s="571"/>
      <c r="U58" s="571"/>
      <c r="V58" s="522"/>
    </row>
    <row r="59" spans="1:22" s="201" customFormat="1" ht="10.5" customHeight="1" hidden="1">
      <c r="A59" s="181"/>
      <c r="B59" s="182"/>
      <c r="C59" s="182"/>
      <c r="D59" s="190"/>
      <c r="E59" s="182"/>
      <c r="F59" s="182" t="s">
        <v>0</v>
      </c>
      <c r="G59" s="568"/>
      <c r="H59" s="568"/>
      <c r="I59" s="568"/>
      <c r="J59" s="354"/>
      <c r="K59" s="353"/>
      <c r="L59" s="354"/>
      <c r="M59" s="353"/>
      <c r="N59" s="354"/>
      <c r="O59" s="353"/>
      <c r="P59" s="354"/>
      <c r="Q59" s="353"/>
      <c r="R59" s="354"/>
      <c r="S59" s="353"/>
      <c r="T59" s="568"/>
      <c r="U59" s="568"/>
      <c r="V59" s="354"/>
    </row>
    <row r="60" spans="1:22" s="201" customFormat="1" ht="10.5" customHeight="1" hidden="1">
      <c r="A60" s="185"/>
      <c r="B60" s="186"/>
      <c r="C60" s="186"/>
      <c r="D60" s="302"/>
      <c r="E60" s="186"/>
      <c r="F60" s="186" t="s">
        <v>0</v>
      </c>
      <c r="G60" s="484"/>
      <c r="H60" s="484"/>
      <c r="I60" s="484"/>
      <c r="J60" s="569"/>
      <c r="K60" s="570"/>
      <c r="L60" s="569"/>
      <c r="M60" s="570"/>
      <c r="N60" s="569"/>
      <c r="O60" s="570"/>
      <c r="P60" s="569"/>
      <c r="Q60" s="570"/>
      <c r="R60" s="569"/>
      <c r="S60" s="570"/>
      <c r="T60" s="484"/>
      <c r="U60" s="484"/>
      <c r="V60" s="569"/>
    </row>
    <row r="61" spans="1:22" s="201" customFormat="1" ht="10.5" customHeight="1">
      <c r="A61" s="301"/>
      <c r="B61" s="188"/>
      <c r="C61" s="188"/>
      <c r="D61" s="189"/>
      <c r="E61" s="188"/>
      <c r="F61" s="188"/>
      <c r="G61" s="503"/>
      <c r="H61" s="503"/>
      <c r="I61" s="492"/>
      <c r="J61" s="493"/>
      <c r="K61" s="492"/>
      <c r="L61" s="493"/>
      <c r="M61" s="492"/>
      <c r="N61" s="493"/>
      <c r="O61" s="492"/>
      <c r="P61" s="493"/>
      <c r="Q61" s="492"/>
      <c r="R61" s="493"/>
      <c r="S61" s="492"/>
      <c r="T61" s="493"/>
      <c r="U61" s="492"/>
      <c r="V61" s="496"/>
    </row>
    <row r="62" spans="1:22" s="201" customFormat="1" ht="10.5" customHeight="1">
      <c r="A62" s="187"/>
      <c r="B62" s="188"/>
      <c r="C62" s="188"/>
      <c r="D62" s="189"/>
      <c r="E62" s="188"/>
      <c r="F62" s="188"/>
      <c r="G62" s="503"/>
      <c r="H62" s="503"/>
      <c r="I62" s="497"/>
      <c r="J62" s="565"/>
      <c r="K62" s="497"/>
      <c r="L62" s="565"/>
      <c r="M62" s="497"/>
      <c r="N62" s="565"/>
      <c r="O62" s="497"/>
      <c r="P62" s="565"/>
      <c r="Q62" s="497"/>
      <c r="R62" s="565"/>
      <c r="S62" s="497"/>
      <c r="T62" s="565"/>
      <c r="U62" s="497"/>
      <c r="V62" s="498"/>
    </row>
    <row r="63" spans="1:22" s="201" customFormat="1" ht="10.5" customHeight="1" thickBot="1">
      <c r="A63" s="187"/>
      <c r="B63" s="188"/>
      <c r="C63" s="188"/>
      <c r="D63" s="304"/>
      <c r="E63" s="188"/>
      <c r="F63" s="305"/>
      <c r="G63" s="566"/>
      <c r="H63" s="567"/>
      <c r="I63" s="305"/>
      <c r="J63" s="306"/>
      <c r="K63" s="307"/>
      <c r="L63" s="307"/>
      <c r="M63" s="307"/>
      <c r="N63" s="307"/>
      <c r="O63" s="307"/>
      <c r="P63" s="307"/>
      <c r="Q63" s="307"/>
      <c r="R63" s="307"/>
      <c r="S63" s="308"/>
      <c r="T63" s="307"/>
      <c r="U63" s="307"/>
      <c r="V63" s="309"/>
    </row>
    <row r="64" spans="1:22" ht="10.5" customHeight="1">
      <c r="A64" s="76"/>
      <c r="B64" s="77"/>
      <c r="C64" s="77"/>
      <c r="D64" s="77"/>
      <c r="E64" s="77"/>
      <c r="F64" s="77"/>
      <c r="G64" s="77"/>
      <c r="H64" s="77"/>
      <c r="I64" s="77"/>
      <c r="J64" s="72" t="s">
        <v>22</v>
      </c>
      <c r="K64" s="73"/>
      <c r="L64" s="73"/>
      <c r="M64" s="73"/>
      <c r="N64" s="73"/>
      <c r="O64" s="73"/>
      <c r="P64" s="73"/>
      <c r="Q64" s="73"/>
      <c r="R64" s="73"/>
      <c r="S64" s="418" t="s">
        <v>163</v>
      </c>
      <c r="T64" s="419"/>
      <c r="U64" s="419"/>
      <c r="V64" s="420"/>
    </row>
    <row r="65" spans="1:22" ht="10.5" customHeight="1">
      <c r="A65" s="78" t="s">
        <v>23</v>
      </c>
      <c r="B65" s="79"/>
      <c r="C65" s="79"/>
      <c r="D65" s="79"/>
      <c r="E65" s="79"/>
      <c r="F65" s="79"/>
      <c r="G65" s="79"/>
      <c r="H65" s="79"/>
      <c r="I65" s="79"/>
      <c r="J65" s="424">
        <f>IF('MMR-Page1'!J65="","",'MMR-Page1'!J65)</f>
      </c>
      <c r="K65" s="425"/>
      <c r="L65" s="425"/>
      <c r="M65" s="425"/>
      <c r="N65" s="425"/>
      <c r="O65" s="425"/>
      <c r="P65" s="425"/>
      <c r="Q65" s="425"/>
      <c r="R65" s="426"/>
      <c r="S65" s="430">
        <f>IF('MMR-Page1'!S65="","",'MMR-Page1'!S65)</f>
      </c>
      <c r="T65" s="425"/>
      <c r="U65" s="425"/>
      <c r="V65" s="500"/>
    </row>
    <row r="66" spans="1:22" ht="10.5" customHeight="1">
      <c r="A66" s="80" t="s">
        <v>24</v>
      </c>
      <c r="B66" s="68"/>
      <c r="C66" s="68"/>
      <c r="D66" s="68"/>
      <c r="E66" s="68"/>
      <c r="F66" s="68"/>
      <c r="G66" s="68"/>
      <c r="H66" s="68"/>
      <c r="I66" s="68"/>
      <c r="J66" s="427"/>
      <c r="K66" s="428"/>
      <c r="L66" s="428"/>
      <c r="M66" s="428"/>
      <c r="N66" s="428"/>
      <c r="O66" s="428"/>
      <c r="P66" s="428"/>
      <c r="Q66" s="428"/>
      <c r="R66" s="429"/>
      <c r="S66" s="501"/>
      <c r="T66" s="428"/>
      <c r="U66" s="428"/>
      <c r="V66" s="502"/>
    </row>
    <row r="67" spans="1:22" ht="10.5" customHeight="1">
      <c r="A67" s="80" t="s">
        <v>25</v>
      </c>
      <c r="B67" s="68"/>
      <c r="C67" s="68"/>
      <c r="D67" s="68"/>
      <c r="E67" s="68"/>
      <c r="F67" s="68"/>
      <c r="G67" s="68"/>
      <c r="H67" s="68"/>
      <c r="I67" s="68"/>
      <c r="J67" s="390" t="s">
        <v>26</v>
      </c>
      <c r="K67" s="391"/>
      <c r="L67" s="391"/>
      <c r="M67" s="391"/>
      <c r="N67" s="391"/>
      <c r="O67" s="318"/>
      <c r="P67" s="319"/>
      <c r="Q67" s="396" t="s">
        <v>27</v>
      </c>
      <c r="R67" s="391"/>
      <c r="S67" s="391"/>
      <c r="T67" s="391"/>
      <c r="U67" s="391"/>
      <c r="V67" s="397"/>
    </row>
    <row r="68" spans="1:22" ht="10.5" customHeight="1">
      <c r="A68" s="80" t="s">
        <v>28</v>
      </c>
      <c r="B68" s="68"/>
      <c r="C68" s="68"/>
      <c r="D68" s="68"/>
      <c r="E68" s="68"/>
      <c r="F68" s="68"/>
      <c r="G68" s="68"/>
      <c r="H68" s="68"/>
      <c r="I68" s="68"/>
      <c r="J68" s="392"/>
      <c r="K68" s="393"/>
      <c r="L68" s="393"/>
      <c r="M68" s="393"/>
      <c r="N68" s="393"/>
      <c r="O68" s="394"/>
      <c r="P68" s="395"/>
      <c r="Q68" s="398"/>
      <c r="R68" s="393"/>
      <c r="S68" s="393"/>
      <c r="T68" s="393"/>
      <c r="U68" s="393"/>
      <c r="V68" s="399"/>
    </row>
    <row r="69" spans="1:22" ht="10.5" customHeight="1">
      <c r="A69" s="80" t="s">
        <v>29</v>
      </c>
      <c r="B69" s="68"/>
      <c r="C69" s="68"/>
      <c r="D69" s="68"/>
      <c r="E69" s="68"/>
      <c r="F69" s="68"/>
      <c r="G69" s="68"/>
      <c r="H69" s="68"/>
      <c r="I69" s="68"/>
      <c r="J69" s="424">
        <f>IF('MMR-Page1'!J69="","",'MMR-Page1'!J69)</f>
      </c>
      <c r="K69" s="436"/>
      <c r="L69" s="436"/>
      <c r="M69" s="436"/>
      <c r="N69" s="436"/>
      <c r="O69" s="436"/>
      <c r="P69" s="426"/>
      <c r="Q69" s="440">
        <f>IF('MMR-Page1'!Q69="","",'MMR-Page1'!Q69)</f>
      </c>
      <c r="R69" s="441"/>
      <c r="S69" s="441"/>
      <c r="T69" s="441"/>
      <c r="U69" s="441"/>
      <c r="V69" s="442"/>
    </row>
    <row r="70" spans="1:22" ht="10.5" customHeight="1" thickBot="1">
      <c r="A70" s="80" t="s">
        <v>30</v>
      </c>
      <c r="B70" s="68"/>
      <c r="C70" s="68"/>
      <c r="D70" s="68"/>
      <c r="E70" s="68"/>
      <c r="F70" s="68"/>
      <c r="G70" s="68"/>
      <c r="H70" s="68"/>
      <c r="I70" s="68"/>
      <c r="J70" s="437"/>
      <c r="K70" s="438"/>
      <c r="L70" s="438"/>
      <c r="M70" s="438"/>
      <c r="N70" s="438"/>
      <c r="O70" s="438"/>
      <c r="P70" s="439"/>
      <c r="Q70" s="443"/>
      <c r="R70" s="444"/>
      <c r="S70" s="444"/>
      <c r="T70" s="444"/>
      <c r="U70" s="444"/>
      <c r="V70" s="445"/>
    </row>
    <row r="71" spans="1:22" ht="10.5" customHeight="1">
      <c r="A71" s="80" t="s">
        <v>31</v>
      </c>
      <c r="B71" s="68"/>
      <c r="C71" s="68"/>
      <c r="D71" s="68"/>
      <c r="E71" s="68"/>
      <c r="F71" s="68"/>
      <c r="G71" s="68"/>
      <c r="H71" s="68"/>
      <c r="I71" s="68"/>
      <c r="J71" s="72" t="s">
        <v>32</v>
      </c>
      <c r="K71" s="73"/>
      <c r="L71" s="73"/>
      <c r="M71" s="73"/>
      <c r="N71" s="73"/>
      <c r="O71" s="73"/>
      <c r="P71" s="73"/>
      <c r="Q71" s="73"/>
      <c r="R71" s="73"/>
      <c r="S71" s="412" t="s">
        <v>163</v>
      </c>
      <c r="T71" s="413"/>
      <c r="U71" s="413"/>
      <c r="V71" s="414"/>
    </row>
    <row r="72" spans="1:22" ht="10.5" customHeight="1">
      <c r="A72" s="80" t="s">
        <v>33</v>
      </c>
      <c r="B72" s="68"/>
      <c r="C72" s="68"/>
      <c r="D72" s="68"/>
      <c r="E72" s="68"/>
      <c r="F72" s="68"/>
      <c r="G72" s="68"/>
      <c r="H72" s="68"/>
      <c r="I72" s="68"/>
      <c r="J72" s="74" t="s">
        <v>34</v>
      </c>
      <c r="K72" s="75"/>
      <c r="L72" s="75"/>
      <c r="M72" s="75"/>
      <c r="N72" s="75"/>
      <c r="O72" s="75"/>
      <c r="P72" s="75"/>
      <c r="Q72" s="75"/>
      <c r="R72" s="75"/>
      <c r="S72" s="415"/>
      <c r="T72" s="416"/>
      <c r="U72" s="416"/>
      <c r="V72" s="417"/>
    </row>
    <row r="73" spans="1:22" ht="10.5" customHeight="1">
      <c r="A73" s="80" t="s">
        <v>35</v>
      </c>
      <c r="B73" s="68"/>
      <c r="C73" s="68"/>
      <c r="D73" s="68"/>
      <c r="E73" s="68"/>
      <c r="F73" s="68"/>
      <c r="G73" s="68"/>
      <c r="H73" s="68"/>
      <c r="I73" s="68"/>
      <c r="J73" s="368"/>
      <c r="K73" s="369"/>
      <c r="L73" s="369"/>
      <c r="M73" s="369"/>
      <c r="N73" s="369"/>
      <c r="O73" s="369"/>
      <c r="P73" s="369"/>
      <c r="Q73" s="369"/>
      <c r="R73" s="370"/>
      <c r="S73" s="374"/>
      <c r="T73" s="369"/>
      <c r="U73" s="369"/>
      <c r="V73" s="375"/>
    </row>
    <row r="74" spans="1:22" ht="10.5" customHeight="1" thickBot="1">
      <c r="A74" s="81" t="s">
        <v>36</v>
      </c>
      <c r="B74" s="82"/>
      <c r="C74" s="82"/>
      <c r="D74" s="82"/>
      <c r="E74" s="82"/>
      <c r="F74" s="82"/>
      <c r="G74" s="82"/>
      <c r="H74" s="82"/>
      <c r="I74" s="82"/>
      <c r="J74" s="371"/>
      <c r="K74" s="372"/>
      <c r="L74" s="372"/>
      <c r="M74" s="372"/>
      <c r="N74" s="372"/>
      <c r="O74" s="372"/>
      <c r="P74" s="372"/>
      <c r="Q74" s="372"/>
      <c r="R74" s="373"/>
      <c r="S74" s="376"/>
      <c r="T74" s="372"/>
      <c r="U74" s="372"/>
      <c r="V74" s="377"/>
    </row>
    <row r="75" spans="1:22" ht="10.5" customHeight="1">
      <c r="A75" s="1"/>
      <c r="B75" s="1"/>
      <c r="C75" s="1"/>
      <c r="D75" s="1"/>
      <c r="E75" s="1"/>
      <c r="F75" s="1"/>
      <c r="G75" s="1"/>
      <c r="H75" s="1"/>
      <c r="I75" s="1"/>
      <c r="J75" s="378" t="s">
        <v>80</v>
      </c>
      <c r="K75" s="378"/>
      <c r="L75" s="23">
        <v>4</v>
      </c>
      <c r="M75" s="1"/>
      <c r="N75" s="1"/>
      <c r="O75" s="1"/>
      <c r="P75" s="1"/>
      <c r="Q75" s="1"/>
      <c r="R75" s="1"/>
      <c r="S75" s="1"/>
      <c r="T75" s="1"/>
      <c r="U75" s="1"/>
      <c r="V75" s="1"/>
    </row>
    <row r="76" spans="1:22" ht="10.5" customHeight="1">
      <c r="A76" s="24"/>
      <c r="B76" s="24"/>
      <c r="C76" s="24"/>
      <c r="D76" s="24"/>
      <c r="E76" s="24"/>
      <c r="F76" s="24"/>
      <c r="G76" s="24"/>
      <c r="H76" s="24"/>
      <c r="I76" s="24"/>
      <c r="J76" s="24"/>
      <c r="K76" s="24"/>
      <c r="L76" s="24"/>
      <c r="M76" s="24"/>
      <c r="N76" s="24"/>
      <c r="O76" s="24"/>
      <c r="P76" s="24"/>
      <c r="Q76" s="24"/>
      <c r="R76" s="24"/>
      <c r="S76" s="24"/>
      <c r="T76" s="24"/>
      <c r="U76" s="24"/>
      <c r="V76" s="24"/>
    </row>
    <row r="78" ht="15">
      <c r="S78" s="37"/>
    </row>
    <row r="79" ht="15">
      <c r="S79" s="37"/>
    </row>
    <row r="80" ht="15">
      <c r="S80" s="37"/>
    </row>
  </sheetData>
  <sheetProtection selectLockedCells="1"/>
  <mergeCells count="92">
    <mergeCell ref="S71:V72"/>
    <mergeCell ref="E53:V53"/>
    <mergeCell ref="E54:V54"/>
    <mergeCell ref="E55:V55"/>
    <mergeCell ref="E56:V56"/>
    <mergeCell ref="E57:V57"/>
    <mergeCell ref="S58:T58"/>
    <mergeCell ref="U58:V58"/>
    <mergeCell ref="G58:H58"/>
    <mergeCell ref="I58:J58"/>
    <mergeCell ref="E49:V49"/>
    <mergeCell ref="E50:V50"/>
    <mergeCell ref="E51:V51"/>
    <mergeCell ref="E38:V38"/>
    <mergeCell ref="E39:V39"/>
    <mergeCell ref="E40:V40"/>
    <mergeCell ref="E43:V43"/>
    <mergeCell ref="E44:V44"/>
    <mergeCell ref="E45:V45"/>
    <mergeCell ref="E46:V46"/>
    <mergeCell ref="E47:V47"/>
    <mergeCell ref="E48:V48"/>
    <mergeCell ref="E29:V29"/>
    <mergeCell ref="E30:V30"/>
    <mergeCell ref="G18:V18"/>
    <mergeCell ref="E35:V35"/>
    <mergeCell ref="E36:V36"/>
    <mergeCell ref="E37:V37"/>
    <mergeCell ref="E31:V31"/>
    <mergeCell ref="E26:V26"/>
    <mergeCell ref="E27:V27"/>
    <mergeCell ref="E28:V28"/>
    <mergeCell ref="D5:L5"/>
    <mergeCell ref="D6:L6"/>
    <mergeCell ref="D7:L7"/>
    <mergeCell ref="D8:L8"/>
    <mergeCell ref="D9:L9"/>
    <mergeCell ref="D10:L10"/>
    <mergeCell ref="S15:U15"/>
    <mergeCell ref="G17:V17"/>
    <mergeCell ref="D11:L11"/>
    <mergeCell ref="N11:P11"/>
    <mergeCell ref="Q11:V11"/>
    <mergeCell ref="A14:I14"/>
    <mergeCell ref="K14:N14"/>
    <mergeCell ref="P14:Q14"/>
    <mergeCell ref="R14:S14"/>
    <mergeCell ref="K58:L58"/>
    <mergeCell ref="M58:N58"/>
    <mergeCell ref="O58:P58"/>
    <mergeCell ref="Q58:R58"/>
    <mergeCell ref="E32:V32"/>
    <mergeCell ref="E33:V33"/>
    <mergeCell ref="E34:V34"/>
    <mergeCell ref="E52:V52"/>
    <mergeCell ref="E41:V41"/>
    <mergeCell ref="E42:V42"/>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Q67:V68"/>
    <mergeCell ref="G61:H62"/>
    <mergeCell ref="I61:J62"/>
    <mergeCell ref="K61:L62"/>
    <mergeCell ref="M61:N62"/>
    <mergeCell ref="O61:P62"/>
    <mergeCell ref="Q61:R62"/>
    <mergeCell ref="G63:H63"/>
    <mergeCell ref="S64:V64"/>
    <mergeCell ref="J69:P70"/>
    <mergeCell ref="Q69:V70"/>
    <mergeCell ref="J73:R74"/>
    <mergeCell ref="S73:V74"/>
    <mergeCell ref="J75:K75"/>
    <mergeCell ref="S61:T62"/>
    <mergeCell ref="U61:V62"/>
    <mergeCell ref="J65:R66"/>
    <mergeCell ref="S65:V66"/>
    <mergeCell ref="J67:P68"/>
  </mergeCells>
  <printOptions/>
  <pageMargins left="0.7" right="0.7" top="0.75" bottom="0.75" header="0.3" footer="0.3"/>
  <pageSetup fitToHeight="1" fitToWidth="1" horizontalDpi="600" verticalDpi="600" orientation="portrait" scale="86" r:id="rId2"/>
  <drawing r:id="rId1"/>
</worksheet>
</file>

<file path=xl/worksheets/sheet6.xml><?xml version="1.0" encoding="utf-8"?>
<worksheet xmlns="http://schemas.openxmlformats.org/spreadsheetml/2006/main" xmlns:r="http://schemas.openxmlformats.org/officeDocument/2006/relationships">
  <dimension ref="A1:AI17"/>
  <sheetViews>
    <sheetView tabSelected="1" zoomScalePageLayoutView="0" workbookViewId="0" topLeftCell="A1">
      <selection activeCell="AI2" sqref="AI2"/>
    </sheetView>
  </sheetViews>
  <sheetFormatPr defaultColWidth="9.28125" defaultRowHeight="15"/>
  <cols>
    <col min="1" max="1" width="16.28125" style="138" customWidth="1"/>
    <col min="2" max="2" width="8.28125" style="140" customWidth="1"/>
    <col min="3" max="3" width="6.57421875" style="138" customWidth="1"/>
    <col min="4" max="4" width="13.28125" style="138" customWidth="1"/>
    <col min="5" max="5" width="16.00390625" style="150" customWidth="1"/>
    <col min="6" max="6" width="10.7109375" style="138" customWidth="1"/>
    <col min="7" max="7" width="11.00390625" style="138" customWidth="1"/>
    <col min="8" max="8" width="8.57421875" style="138" customWidth="1"/>
    <col min="9" max="9" width="10.421875" style="138" customWidth="1"/>
    <col min="10" max="10" width="7.7109375" style="138" customWidth="1"/>
    <col min="11" max="11" width="9.7109375" style="138" customWidth="1"/>
    <col min="12" max="12" width="14.421875" style="138" customWidth="1"/>
    <col min="13" max="15" width="9.7109375" style="138" customWidth="1"/>
    <col min="16" max="16" width="14.421875" style="138" customWidth="1"/>
    <col min="17" max="17" width="9.28125" style="149" customWidth="1"/>
    <col min="18" max="18" width="7.7109375" style="150" customWidth="1"/>
    <col min="19" max="19" width="8.28125" style="138" customWidth="1"/>
    <col min="20" max="20" width="13.28125" style="138" customWidth="1"/>
    <col min="21" max="21" width="13.7109375" style="138" customWidth="1"/>
    <col min="22" max="22" width="6.7109375" style="150" customWidth="1"/>
    <col min="23" max="23" width="7.7109375" style="138" customWidth="1"/>
    <col min="24" max="24" width="13.28125" style="138" customWidth="1"/>
    <col min="25" max="25" width="9.7109375" style="138" customWidth="1"/>
    <col min="26" max="26" width="7.28125" style="138" customWidth="1"/>
    <col min="27" max="27" width="8.28125" style="138" customWidth="1"/>
    <col min="28" max="28" width="15.421875" style="138" customWidth="1"/>
    <col min="29" max="29" width="15.28125" style="138" customWidth="1"/>
    <col min="30" max="30" width="8.00390625" style="151" customWidth="1"/>
    <col min="31" max="31" width="10.28125" style="150" customWidth="1"/>
    <col min="32" max="32" width="11.7109375" style="150" customWidth="1"/>
    <col min="33" max="33" width="9.7109375" style="150" customWidth="1"/>
    <col min="34" max="34" width="9.28125" style="150" customWidth="1"/>
    <col min="35" max="35" width="9.28125" style="140" customWidth="1"/>
    <col min="36" max="16384" width="9.28125" style="138" customWidth="1"/>
  </cols>
  <sheetData>
    <row r="1" spans="1:35" s="167" customFormat="1" ht="42.75" customHeight="1">
      <c r="A1" s="228" t="s">
        <v>100</v>
      </c>
      <c r="B1" s="229" t="s">
        <v>93</v>
      </c>
      <c r="C1" s="228" t="s">
        <v>94</v>
      </c>
      <c r="D1" s="228" t="s">
        <v>95</v>
      </c>
      <c r="E1" s="228" t="s">
        <v>101</v>
      </c>
      <c r="F1" s="229" t="str">
        <f>IF('MMR-Page1'!$V$15=TRUE,"comment_txt","parameter_cd")</f>
        <v>parameter_cd</v>
      </c>
      <c r="G1" s="229" t="str">
        <f>IF('MMR-Page1'!$V$15=TRUE,"","monitoring_location_cd")</f>
        <v>monitoring_location_cd</v>
      </c>
      <c r="H1" s="230" t="str">
        <f>IF('MMR-Page1'!$V$15=TRUE,"","season_num")</f>
        <v>season_num</v>
      </c>
      <c r="I1" s="230" t="str">
        <f>IF('MMR-Page1'!$V$15=TRUE,"","quant_1_nodi_cd")</f>
        <v>quant_1_nodi_cd</v>
      </c>
      <c r="J1" s="229" t="str">
        <f>IF('MMR-Page1'!$V$15=TRUE,"","quant_1_qualifier_txt")</f>
        <v>quant_1_qualifier_txt</v>
      </c>
      <c r="K1" s="229" t="str">
        <f>IF('MMR-Page1'!$V$15=TRUE,"","quant_1_sample_num")</f>
        <v>quant_1_sample_num</v>
      </c>
      <c r="L1" s="230" t="str">
        <f>IF('MMR-Page1'!$V$15=TRUE,"","quant_1_effluent_num")</f>
        <v>quant_1_effluent_num</v>
      </c>
      <c r="M1" s="230" t="str">
        <f>IF('MMR-Page1'!$V$15=TRUE,"","quant_2_nodi_cd")</f>
        <v>quant_2_nodi_cd</v>
      </c>
      <c r="N1" s="229" t="str">
        <f>IF('MMR-Page1'!$V$15=TRUE,"","quant_2_qualifier_txt")</f>
        <v>quant_2_qualifier_txt</v>
      </c>
      <c r="O1" s="229" t="str">
        <f>IF('MMR-Page1'!$V$15=TRUE,"","quant_2_sample_num")</f>
        <v>quant_2_sample_num</v>
      </c>
      <c r="P1" s="229" t="str">
        <f>IF('MMR-Page1'!$V$15=TRUE,"","quant_2_effluent_num")</f>
        <v>quant_2_effluent_num</v>
      </c>
      <c r="Q1" s="230" t="str">
        <f>IF('MMR-Page1'!$V$15=TRUE,"","quant_uom_cd")</f>
        <v>quant_uom_cd</v>
      </c>
      <c r="R1" s="230" t="str">
        <f>IF('MMR-Page1'!$V$15=TRUE,"","conc_1_nodi_cd")</f>
        <v>conc_1_nodi_cd</v>
      </c>
      <c r="S1" s="229" t="str">
        <f>IF('MMR-Page1'!$V$15=TRUE,"","conc_1_qualifier_txt")</f>
        <v>conc_1_qualifier_txt</v>
      </c>
      <c r="T1" s="229" t="str">
        <f>IF('MMR-Page1'!$V$15=TRUE,"","conc_1_sample_num")</f>
        <v>conc_1_sample_num</v>
      </c>
      <c r="U1" s="230" t="str">
        <f>IF('MMR-Page1'!$V$15=TRUE,"","conc_1_effluent_num")</f>
        <v>conc_1_effluent_num</v>
      </c>
      <c r="V1" s="230" t="str">
        <f>IF('MMR-Page1'!$V$15=TRUE,"","conc_2_nodi_cd")</f>
        <v>conc_2_nodi_cd</v>
      </c>
      <c r="W1" s="229" t="str">
        <f>IF('MMR-Page1'!$V$15=TRUE,"","conc_2_qualifier_txt")</f>
        <v>conc_2_qualifier_txt</v>
      </c>
      <c r="X1" s="229" t="str">
        <f>IF('MMR-Page1'!$V$15=TRUE,"","conc_2_sample_num")</f>
        <v>conc_2_sample_num</v>
      </c>
      <c r="Y1" s="230" t="str">
        <f>IF('MMR-Page1'!$V$15=TRUE,"","conc_2_effluent_num")</f>
        <v>conc_2_effluent_num</v>
      </c>
      <c r="Z1" s="230" t="str">
        <f>IF('MMR-Page1'!$V$15=TRUE,"","conc_3_nodi_cd")</f>
        <v>conc_3_nodi_cd</v>
      </c>
      <c r="AA1" s="229" t="str">
        <f>IF('MMR-Page1'!$V$15=TRUE,"","conc_3_qualifier_txt")</f>
        <v>conc_3_qualifier_txt</v>
      </c>
      <c r="AB1" s="229" t="str">
        <f>IF('MMR-Page1'!$V$15=TRUE,"","conc_3_sample_num")</f>
        <v>conc_3_sample_num</v>
      </c>
      <c r="AC1" s="229" t="str">
        <f>IF('MMR-Page1'!$V$15=TRUE,"","conc_3_effluent_num")</f>
        <v>conc_3_effluent_num</v>
      </c>
      <c r="AD1" s="230" t="str">
        <f>IF('MMR-Page1'!$V$15=TRUE,"","conc_uom_cd")</f>
        <v>conc_uom_cd</v>
      </c>
      <c r="AE1" s="230" t="str">
        <f>IF('MMR-Page1'!$V$15=TRUE,"","excursions_num")</f>
        <v>excursions_num</v>
      </c>
      <c r="AF1" s="229" t="str">
        <f>IF('MMR-Page1'!$V$15=TRUE,"","freq_analysis_cd")</f>
        <v>freq_analysis_cd</v>
      </c>
      <c r="AG1" s="229" t="str">
        <f>IF('MMR-Page1'!$V$15=TRUE,"","sample_type_cd")</f>
        <v>sample_type_cd</v>
      </c>
      <c r="AH1" s="229" t="str">
        <f>IF('MMR-Page1'!$V$15=TRUE,"","param_nodi_cd")</f>
        <v>param_nodi_cd</v>
      </c>
      <c r="AI1" s="166" t="str">
        <f>IF('MMR-Page1'!$V$15=TRUE,"","comment_txt")</f>
        <v>comment_txt</v>
      </c>
    </row>
    <row r="2" spans="1:35" s="159" customFormat="1" ht="39" customHeight="1">
      <c r="A2" s="231" t="str">
        <f>IF('MMR-Page1'!$V$15=TRUE,"Do NOT use this form for No Discharge!",CONCATENATE("IN",'MMR-Page1'!$C$13,'MMR-Page1'!$D$13,'MMR-Page1'!$E$13,'MMR-Page1'!$F$13,'MMR-Page1'!$G$13,'MMR-Page1'!$H$13,'MMR-Page1'!$I$13))</f>
        <v>IN   </v>
      </c>
      <c r="B2" s="232">
        <f>IF('MMR-Page1'!$V$15=TRUE,"",CONCATENATE('MMR-Page1'!$K$13,'MMR-Page1'!$L$13,'MMR-Page1'!$M$13))</f>
      </c>
      <c r="C2" s="226" t="str">
        <f>IF('MMR-Page1'!$V$15=TRUE,"",'MMR-Page1'!$N$13)</f>
        <v>CP</v>
      </c>
      <c r="D2" s="226" t="str">
        <f>IF('MMR-Page1'!$V$15=TRUE,"",CONCATENATE("20",'MMR-Page1'!$R$13,'MMR-Page1'!$S$13,"-",'MMR-Page1'!$P$13,'MMR-Page1'!$Q$13,"-",instructions!$O$70))</f>
        <v>2016-05-31</v>
      </c>
      <c r="E2" s="226">
        <f>IF('MMR-Page1'!$V$15=TRUE,"","")</f>
      </c>
      <c r="F2" s="226" t="str">
        <f>IF('MMR-Page1'!$V$15=TRUE,"",'MMR-Page1'!$G$20)</f>
        <v>50050</v>
      </c>
      <c r="G2" s="226" t="str">
        <f>IF('MMR-Page1'!$V$15=TRUE,"",'MMR-Page1'!$G$26)</f>
        <v>1</v>
      </c>
      <c r="H2" s="226">
        <f>IF('MMR-Page1'!$V$15=TRUE,"",'MMR-Page1'!$G$27)</f>
        <v>0</v>
      </c>
      <c r="I2" s="233">
        <f>IF('MMR-Page1'!$V$15=TRUE,"",IF('MMR-Page1'!$G$17="","",IF('MMR-Page1'!$G$18="Conc","",IF('MMR-Page1'!$G$24="-----","",IF('MMR-Page1'!$G$61=" ","9","")))))</f>
      </c>
      <c r="J2" s="234">
        <f>IF('MMR-Page1'!$V$15=TRUE,"",IF('MMR-Page1'!$G$17="","",IF('MMR-Page1'!$G$18="Conc","",IF('MMR-Page1'!$G$28="","=",""))))</f>
      </c>
      <c r="K2" s="233">
        <f>IF('MMR-Page1'!$V$15=TRUE,"",IF('MMR-Page1'!$G$17="","",IF('MMR-Page1'!$G$18="Conc","",IF('MMR-Page1'!$G$24="Report",'MMR-Page1'!$G$60,""))))</f>
      </c>
      <c r="L2" s="235"/>
      <c r="M2" s="233" t="str">
        <f>IF('MMR-Page1'!$V$15=TRUE,"",IF('MMR-Page1'!$G$17="","",IF('MMR-Page1'!$G$18="Conc","",IF('MMR-Page1'!$G$25="-----","",IF('MMR-Page1'!$G$61="","9","")))))</f>
        <v>9</v>
      </c>
      <c r="N2" s="234">
        <f>IF('MMR-Page1'!$V$15=TRUE,"",IF('MMR-Page1'!$G$17="","",IF('MMR-Page1'!$G$18="Conc","",IF('MMR-Page1'!$G$28="","=",""))))</f>
      </c>
      <c r="O2" s="233">
        <f>IF('MMR-Page1'!$V$15=TRUE,"",IF('MMR-Page1'!$G$17="","",IF('MMR-Page1'!$G$18="Conc","",IF('MMR-Page1'!$G$25="Report",'MMR-Page1'!$G$61,""))))</f>
      </c>
      <c r="P2" s="233"/>
      <c r="Q2" s="233" t="str">
        <f>IF('MMR-Page1'!$V$15=TRUE,"",IF('MMR-Page1'!$G$17="","",IF('MMR-Page1'!$G$18="Conc","",IF('MMR-Page1'!$G$28="MGD","03",IF('MMR-Page1'!$G$28="Lb","55",IF('MMR-Page1'!$G$28="def F","15",""))))))</f>
        <v>03</v>
      </c>
      <c r="R2" s="233">
        <f>IF('MMR-Page1'!$V$15=TRUE,"",IF('MMR-Page1'!$G$17="","",IF('MMR-Page1'!$G$18="Conc",IF('MMR-Page1'!$G$23="-----","",IF('MMR-Page1'!$G$62&gt;0,"","9")),"")))</f>
      </c>
      <c r="S2" s="234">
        <f>IF('MMR-Page1'!$V$15=TRUE,"",IF('MMR-Page1'!$G$17="","",IF('MMR-Page1'!$G$18="Loading","",IF('MMR-Page1'!$G$61="","",IF('MMR-Page1'!$G$17="pH","&gt;",IF('MMR-Page1'!$G$17="Oxygen, dissolved [DO]","&gt;",""))))))</f>
      </c>
      <c r="T2" s="233">
        <f>IF('MMR-Page1'!$V$15=TRUE,"",IF('MMR-Page1'!$G$17="","",IF('MMR-Page1'!$G$18="Loading","",IF('MMR-Page1'!$G$23="Report",'MMR-Page1'!$G$62,""))))</f>
      </c>
      <c r="U2" s="235"/>
      <c r="V2" s="233">
        <f>IF('MMR-Page1'!$V$15=TRUE,"",IF('MMR-Page1'!$G$17="","",IF('MMR-Page1'!$G$18="Conc",IF('MMR-Page1'!$G$24="-----","",IF('MMR-Page1'!$G$60&gt;0,"","9")),"")))</f>
      </c>
      <c r="W2" s="234">
        <f>IF('MMR-Page1'!$V$15=TRUE,"",IF('MMR-Page1'!$G$17="","",IF('MMR-Page1'!$G$18="Loading","",IF('MMR-Page1'!$G$17="pH","",IF('MMR-Page1'!$G$17="Oxygen, dissolved [DO]","",IF('MMR-Page1'!$G$60="","",""))))))</f>
      </c>
      <c r="X2" s="233">
        <f>IF('MMR-Page1'!$V$15=TRUE,"",IF('MMR-Page1'!$G$17="","",IF('MMR-Page1'!$G$18="Loading","",IF('MMR-Page1'!$G$24="Report",'MMR-Page1'!$G$60,""))))</f>
      </c>
      <c r="Y2" s="235"/>
      <c r="Z2" s="233">
        <f>IF('MMR-Page1'!$V$15=TRUE,"",IF('MMR-Page1'!$G$17="","",IF('MMR-Page1'!$G$18="Conc",IF('MMR-Page1'!$G$25="-----","",IF('MMR-Page1'!$G$61&gt;0,"","9")),"")))</f>
      </c>
      <c r="AA2" s="234">
        <f>IF('MMR-Page1'!$V$15=TRUE,"",IF('MMR-Page1'!$G$17="","",IF('MMR-Page1'!$G$18="Loading","",IF('MMR-Page1'!$G$17="pH","&lt;",IF('MMR-Page1'!$G$61="","","")))))</f>
      </c>
      <c r="AB2" s="233">
        <f>IF('MMR-Page1'!$V$15=TRUE,"",IF('MMR-Page1'!$G$17="","",IF('MMR-Page1'!$G$18="Loading","",IF('MMR-Page1'!$G$25="Report",'MMR-Page1'!$G$61,""))))</f>
      </c>
      <c r="AC2" s="236"/>
      <c r="AD2" s="234">
        <f>IF('MMR-Page1'!$V$15=TRUE,"",IF('MMR-Page1'!$G$17="","",IF('MMR-Page1'!$G$18="Loading","",IF('MMR-Page1'!$G$28="MG/L","19",IF('MMR-Page1'!$G$28="SU","12",IF('MMR-Page1'!$G$28="C / 100 ML","3Z","="))))))</f>
      </c>
      <c r="AE2" s="237"/>
      <c r="AF2" s="237" t="str">
        <f>IF('MMR-Page1'!$V$15=TRUE,"",IF('MMR-Page1'!$G$17="","",IF('MMR-Page1'!$G$21="Daily","01/01","")))</f>
        <v>01/01</v>
      </c>
      <c r="AG2" s="237" t="str">
        <f>IF('MMR-Page1'!$V$15=TRUE,"",IF('MMR-Page1'!$G$17="","",IF('MMR-Page1'!$G$19="24 Hr total","TM",(IF('MMR-Page1'!$G$19="Grab","GR",(IF('MMR-Page1'!$G$19="Composite","CP","")))))))</f>
        <v>TM</v>
      </c>
      <c r="AH2" s="226" t="str">
        <f>IF('MMR-Page1'!$V$15=TRUE,"",IF('MMR-Page1'!$G$17="","",IF(AND('MMR-Page1'!$G$60="",'MMR-Page1'!$G$61="",'MMR-Page1'!$G$62=""),"9","")))</f>
        <v>9</v>
      </c>
      <c r="AI2" s="247"/>
    </row>
    <row r="3" spans="1:35" s="156" customFormat="1" ht="15" customHeight="1">
      <c r="A3" s="238" t="str">
        <f>IF('MMR-Page1'!$V$15=TRUE,"#",CONCATENATE("IN",'MMR-Page1'!$C$13,'MMR-Page1'!$D$13,'MMR-Page1'!$E$13,'MMR-Page1'!$F$13,'MMR-Page1'!$G$13,'MMR-Page1'!$H$13,'MMR-Page1'!$I$13))</f>
        <v>IN   </v>
      </c>
      <c r="B3" s="232">
        <f>IF('MMR-Page1'!$V$15=TRUE,"",CONCATENATE('MMR-Page1'!$K$13,'MMR-Page1'!$L$13,'MMR-Page1'!$M$13))</f>
      </c>
      <c r="C3" s="226" t="str">
        <f>IF('MMR-Page1'!$V$15=TRUE,"",'MMR-Page1'!$N$13)</f>
        <v>CP</v>
      </c>
      <c r="D3" s="226" t="str">
        <f>IF('MMR-Page1'!$V$15=TRUE,"",CONCATENATE("20",'MMR-Page1'!$R$13,'MMR-Page1'!$S$13,"-",'MMR-Page1'!$P$13,'MMR-Page1'!$Q$13,"-",instructions!$O$70))</f>
        <v>2016-05-31</v>
      </c>
      <c r="E3" s="226">
        <f>IF('MMR-Page1'!$V$15=TRUE,"","")</f>
      </c>
      <c r="F3" s="226" t="str">
        <f>IF('MMR-Page1'!$V$15=TRUE,"","82220")</f>
        <v>82220</v>
      </c>
      <c r="G3" s="226" t="str">
        <f>IF('MMR-Page1'!$V$15=TRUE,"",'MMR-Page1'!$G$26)</f>
        <v>1</v>
      </c>
      <c r="H3" s="226">
        <f>IF('MMR-Page1'!$V$15=TRUE,"",'MMR-Page1'!$G$27)</f>
        <v>0</v>
      </c>
      <c r="I3" s="233">
        <f>IF('MMR-Page1'!$V$15=TRUE,"",IF('MMR-Page1'!$G$17="","",IF('MMR-Page1'!$G$18="Conc","",IF('MMR-Page1'!$G$24="-----","",IF('MMR-Page1'!$G$61=" ","9","")))))</f>
      </c>
      <c r="J3" s="234">
        <f>IF('MMR-Page1'!$V$15=TRUE,"",IF('MMR-Page1'!$G$17="","",IF('MMR-Page1'!$G$18="Conc","",IF('MMR-Page1'!$G$28="","=",""))))</f>
      </c>
      <c r="K3" s="233">
        <f>IF('MMR-Page1'!$V$15=TRUE,"",IF('MMR-Page1'!$G$17="","",""))</f>
      </c>
      <c r="L3" s="235"/>
      <c r="M3" s="233" t="str">
        <f>IF('MMR-Page1'!$V$15=TRUE,"",IF('MMR-Page1'!$G$17="","",IF('MMR-Page1'!$G$18="Conc","",IF('MMR-Page1'!$G$25="-----","",IF('MMR-Page1'!$G$61="","9","")))))</f>
        <v>9</v>
      </c>
      <c r="N3" s="234">
        <f>IF('MMR-Page1'!$V$15=TRUE,"",IF('MMR-Page1'!$G$17="","",IF('MMR-Page1'!$G$18="Conc","",IF('MMR-Page1'!$G$28="","=",""))))</f>
      </c>
      <c r="O3" s="233">
        <f>IF('MMR-Page1'!$V$15=TRUE,"",IF('MMR-Page1'!$G$17="","",IF('MMR-Page1'!$G$18="Conc","",'MMR-Page1'!$G$63)))</f>
        <v>0</v>
      </c>
      <c r="P3" s="236"/>
      <c r="Q3" s="233" t="str">
        <f>IF('MMR-Page1'!$V$15=TRUE,"",IF('MMR-Page1'!$G$17="","",IF('MMR-Page1'!$G$18="Conc","",IF('MMR-Page1'!$G$28="MGD","80",IF('MMR-Page1'!$G$28="Lb","55",IF('MMR-Page1'!$G$28="def F","15",""))))))</f>
        <v>80</v>
      </c>
      <c r="R3" s="233">
        <f>IF('MMR-Page1'!$V$15=TRUE,"",IF('MMR-Page1'!$G$17="","",IF('MMR-Page1'!$G$18="Conc",IF('MMR-Page1'!$G$23="-----","",IF('MMR-Page1'!$G$62&gt;0,"","9")),"")))</f>
      </c>
      <c r="S3" s="234">
        <f>IF('MMR-Page1'!$I$17="","",IF('MMR-Page1'!$G$18="Loading","",IF('MMR-Page1'!$G$61="","",IF('MMR-Page1'!$G$17="pH","&gt;",IF('MMR-Page1'!$G$17="Oxygen, dissolved [DO]","&gt;","")))))</f>
      </c>
      <c r="T3" s="233">
        <f>IF('MMR-Page1'!$V$15=TRUE,"",IF('MMR-Page1'!$G$17="","",IF('MMR-Page1'!$G$18="Loading","",IF('MMR-Page1'!$G$23="Report",'MMR-Page1'!$G$62,""))))</f>
      </c>
      <c r="U3" s="235"/>
      <c r="V3" s="233">
        <f>IF('MMR-Page1'!$V$15=TRUE,"",IF('MMR-Page1'!$G$17="","",IF('MMR-Page1'!$G$18="Conc",IF('MMR-Page1'!$G$24="-----","",IF('MMR-Page1'!$G$60&gt;0,"","9")),"")))</f>
      </c>
      <c r="W3" s="234">
        <f>IF('MMR-Page1'!$V$15=TRUE,"",IF('MMR-Page1'!$G$17="","",IF('MMR-Page1'!$G$18="Loading","",IF('MMR-Page1'!$G$17="pH","",IF('MMR-Page1'!$G$17="Oxygen, dissolved [DO]","",IF('MMR-Page1'!$G$60="","",""))))))</f>
      </c>
      <c r="X3" s="233">
        <f>IF('MMR-Page1'!$V$15=TRUE,"",IF('MMR-Page1'!$G$17="","",IF('MMR-Page1'!$G$18="Loading","",IF('MMR-Page1'!$G$24="Report",'MMR-Page1'!$G$60,""))))</f>
      </c>
      <c r="Y3" s="235"/>
      <c r="Z3" s="233">
        <f>IF('MMR-Page1'!$V$15=TRUE,"",IF('MMR-Page1'!$G$17="","",IF('MMR-Page1'!$G$18="Conc",IF('MMR-Page1'!$G$25="-----","",IF('MMR-Page1'!$G$61&gt;0,"","9")),"")))</f>
      </c>
      <c r="AA3" s="234">
        <f>IF('MMR-Page1'!$V$15=TRUE,"",IF('MMR-Page1'!$G$17="","",IF('MMR-Page1'!$G$18="Loading","",IF('MMR-Page1'!$G$17="pH","&lt;",IF('MMR-Page1'!$G$61="","","")))))</f>
      </c>
      <c r="AB3" s="233">
        <f>IF('MMR-Page1'!$V$15=TRUE,"",IF('MMR-Page1'!$G$17="","",IF('MMR-Page1'!$G$18="Loading","",IF('MMR-Page1'!$G$25="Report",'MMR-Page1'!$G$61,""))))</f>
      </c>
      <c r="AC3" s="236"/>
      <c r="AD3" s="234">
        <f>IF('MMR-Page1'!$V$15=TRUE,"",IF('MMR-Page1'!$G$17="","",IF('MMR-Page1'!$G$18="Loading","",IF('MMR-Page1'!$G$28="MG/L","19",IF('MMR-Page1'!$G$28="SU","12",IF('MMR-Page1'!$G$28="C / 100 ML","3Z","="))))))</f>
      </c>
      <c r="AE3" s="237"/>
      <c r="AF3" s="237" t="str">
        <f>IF('MMR-Page1'!$V$15=TRUE,"",IF('MMR-Page1'!$G$17="","",IF('MMR-Page1'!$G$21="Daily","01/30","")))</f>
        <v>01/30</v>
      </c>
      <c r="AG3" s="237" t="str">
        <f>IF('MMR-Page1'!$V$15=TRUE,"",IF('MMR-Page1'!$G$17="","",IF('MMR-Page1'!$G$19="24 Hr total","TM",(IF('MMR-Page1'!$G$19="Grab","GR",(IF('MMR-Page1'!$G$19="Composite","CP","")))))))</f>
        <v>TM</v>
      </c>
      <c r="AH3" s="226" t="str">
        <f>IF('MMR-Page1'!$V$15=TRUE,"",IF('MMR-Page1'!$G$17="","",IF(AND('MMR-Page1'!$G$60="",'MMR-Page1'!$G$61="",'MMR-Page1'!$G$62=""),"9","")))</f>
        <v>9</v>
      </c>
      <c r="AI3" s="248"/>
    </row>
    <row r="4" spans="1:35" s="156" customFormat="1" ht="15" customHeight="1">
      <c r="A4" s="238" t="str">
        <f>IF('MMR-Page1'!$V$15=TRUE,"#",CONCATENATE("IN",'MMR-Page1'!$C$13,'MMR-Page1'!$D$13,'MMR-Page1'!$E$13,'MMR-Page1'!$F$13,'MMR-Page1'!$G$13,'MMR-Page1'!$H$13,'MMR-Page1'!$I$13))</f>
        <v>IN   </v>
      </c>
      <c r="B4" s="232">
        <f>IF('MMR-Page1'!$V$15=TRUE,"",CONCATENATE('MMR-Page1'!$K$13,'MMR-Page1'!$L$13,'MMR-Page1'!$M$13))</f>
      </c>
      <c r="C4" s="226" t="str">
        <f>IF('MMR-Page1'!$V$15=TRUE,"",'MMR-Page1'!$N$13)</f>
        <v>CP</v>
      </c>
      <c r="D4" s="226" t="str">
        <f>IF('MMR-Page1'!$V$15=TRUE,"",CONCATENATE("20",'MMR-Page1'!$R$13,'MMR-Page1'!$S$13,"-",'MMR-Page1'!$P$13,'MMR-Page1'!$Q$13,"-",instructions!$O$70))</f>
        <v>2016-05-31</v>
      </c>
      <c r="E4" s="226">
        <f>IF('MMR-Page1'!$V$15=TRUE,"","")</f>
      </c>
      <c r="F4" s="226" t="str">
        <f>IF('MMR-Page1'!$V$15=TRUE,"",'MMR-Page1'!$I$20)</f>
        <v>80082</v>
      </c>
      <c r="G4" s="226" t="str">
        <f>IF('MMR-Page1'!$V$15=TRUE,"",'MMR-Page1'!$I$26)</f>
        <v>1</v>
      </c>
      <c r="H4" s="226">
        <f>IF('MMR-Page1'!$V$15=TRUE,"",'MMR-Page1'!$I$27)</f>
        <v>0</v>
      </c>
      <c r="I4" s="233">
        <f>IF('MMR-Page1'!$V$15=TRUE,"",IF('MMR-Page1'!$I$17="","",IF('MMR-Page1'!$I$18="Conc","",IF('MMR-Page1'!$I$24="-----","",IF('MMR-Page1'!$I$61=" ","9","")))))</f>
      </c>
      <c r="J4" s="234">
        <f>IF('MMR-Page1'!$V$15=TRUE,"",IF('MMR-Page1'!$I$17="","",IF('MMR-Page1'!$I$18="Conc","",IF('MMR-Page1'!$I$28="","=",""))))</f>
      </c>
      <c r="K4" s="233">
        <f>IF('MMR-Page1'!$V$15=TRUE,"",IF('MMR-Page1'!$I$17="","",IF('MMR-Page1'!$I$18="Conc","",IF('MMR-Page1'!$I$24="Report",'MMR-Page1'!$I$60,""))))</f>
      </c>
      <c r="L4" s="235"/>
      <c r="M4" s="233">
        <f>IF('MMR-Page1'!$V$15=TRUE,"",IF('MMR-Page1'!$I$17="","",IF('MMR-Page1'!$I$18="Conc","",IF('MMR-Page1'!$I$25="-----","",IF('MMR-Page1'!$I$61="","9","")))))</f>
      </c>
      <c r="N4" s="234">
        <f>IF('MMR-Page1'!$V$15=TRUE,"",IF('MMR-Page1'!$I$17="","",IF('MMR-Page1'!$I$18="Conc","",IF('MMR-Page1'!$I$28="","=",""))))</f>
      </c>
      <c r="O4" s="233">
        <f>IF('MMR-Page1'!$V$15=TRUE,"",IF('MMR-Page1'!$I$17="","",IF('MMR-Page1'!$I$18="Conc","",IF('MMR-Page1'!$I$25="Report",'MMR-Page1'!$I$61,""))))</f>
      </c>
      <c r="P4" s="236"/>
      <c r="Q4" s="233">
        <f>IF('MMR-Page1'!$V$15=TRUE,"",IF('MMR-Page1'!$I$17="","",IF('MMR-Page1'!$I$18="Conc","",IF('MMR-Page1'!$I$28="MGD","03",IF('MMR-Page1'!$I$28="Lb","55",IF('MMR-Page1'!$I$28="def F","15",""))))))</f>
      </c>
      <c r="R4" s="233">
        <f>IF('MMR-Page1'!$V$15=TRUE,"",IF('MMR-Page1'!$I$17="","",IF('MMR-Page1'!$I$18="Conc",IF('MMR-Page1'!$I$23="-----","",IF('MMR-Page1'!$I$62&gt;0,"","9")),"")))</f>
      </c>
      <c r="S4" s="234">
        <f>IF('MMR-Page1'!$I$17="","",IF('MMR-Page1'!$I$18="Loading","",IF('MMR-Page1'!$I$61="","",IF('MMR-Page1'!$I$17="pH","&gt;",IF('MMR-Page1'!$I$17="Oxygen, dissolved [DO]","&gt;","")))))</f>
      </c>
      <c r="T4" s="233">
        <f>IF('MMR-Page1'!$V$15=TRUE,"",IF('MMR-Page1'!$I$17="","",IF('MMR-Page1'!$I$18="Loading","",IF('MMR-Page1'!$I$23="Report",'MMR-Page1'!$I$62,""))))</f>
      </c>
      <c r="U4" s="235"/>
      <c r="V4" s="233">
        <f>IF('MMR-Page1'!$V$15=TRUE,"",IF('MMR-Page1'!$I$17="","",IF('MMR-Page1'!$I$18="Conc",IF('MMR-Page1'!$I$24="-----","",IF('MMR-Page1'!$I$60&gt;0,"","9")),"")))</f>
      </c>
      <c r="W4" s="234">
        <f>IF('MMR-Page1'!$V$15=TRUE,"",IF('MMR-Page1'!$I$17="","",IF('MMR-Page1'!$I$18="Loading","",IF('MMR-Page1'!$I$17="pH","",IF('MMR-Page1'!$I$17="Oxygen, dissolved [DO]","",IF('MMR-Page1'!$I$60="","",""))))))</f>
      </c>
      <c r="X4" s="233">
        <f>IF('MMR-Page1'!$V$15=TRUE,"",IF('MMR-Page1'!$I$17="","",IF('MMR-Page1'!$I$18="Loading","",IF('MMR-Page1'!$I$24="Report",'MMR-Page1'!$I$60,""))))</f>
      </c>
      <c r="Y4" s="235"/>
      <c r="Z4" s="233">
        <f>IF('MMR-Page1'!$V$15=TRUE,"",IF('MMR-Page1'!$I$17="","",IF('MMR-Page1'!$I$18="Conc",IF('MMR-Page1'!$I$25="-----","",IF('MMR-Page1'!$I$61&gt;0,"","9")),"")))</f>
      </c>
      <c r="AA4" s="234">
        <f>IF('MMR-Page1'!$V$15=TRUE,"",IF('MMR-Page1'!$I$17="","",IF('MMR-Page1'!$I$18="Loading","",IF('MMR-Page1'!$I$17="pH","&lt;",IF('MMR-Page1'!$I$61="","","")))))</f>
      </c>
      <c r="AB4" s="233">
        <f>IF('MMR-Page1'!$V$15=TRUE,"",IF('MMR-Page1'!$I$17="","",IF('MMR-Page1'!$I$18="Loading","",IF('MMR-Page1'!$I$25="Report",'MMR-Page1'!$I$61,""))))</f>
      </c>
      <c r="AC4" s="236"/>
      <c r="AD4" s="234" t="str">
        <f>IF('MMR-Page1'!$V$15=TRUE,"",IF('MMR-Page1'!$I$17="","",IF('MMR-Page1'!$I$18="Loading","",IF('MMR-Page1'!$I$28="MG/L","19",IF('MMR-Page1'!$I$28="SU","12",IF('MMR-Page1'!$I$28="C / 100 ML","3Z","="))))))</f>
        <v>19</v>
      </c>
      <c r="AE4" s="237"/>
      <c r="AF4" s="237" t="str">
        <f>IF('MMR-Page1'!$V$15=TRUE,"",IF('MMR-Page1'!$I$17="","",IF('MMR-Page1'!$I$21="Daily","01/01","")))</f>
        <v>01/01</v>
      </c>
      <c r="AG4" s="237" t="str">
        <f>IF('MMR-Page1'!$V$15=TRUE,"",IF('MMR-Page1'!$I$17="","",IF('MMR-Page1'!$I$19="24 Hr total","TM",(IF('MMR-Page1'!$I$19="Grab","GR",(IF('MMR-Page1'!$I$19="Composite","CP","")))))))</f>
        <v>CP</v>
      </c>
      <c r="AH4" s="226" t="str">
        <f>IF('MMR-Page1'!$V$15=TRUE,"",IF('MMR-Page1'!$I$17="","",IF(AND('MMR-Page1'!$I$60="",'MMR-Page1'!$I$61="",'MMR-Page1'!$I$62=""),"9","")))</f>
        <v>9</v>
      </c>
      <c r="AI4" s="248"/>
    </row>
    <row r="5" spans="1:35" s="157" customFormat="1" ht="15" customHeight="1">
      <c r="A5" s="238" t="str">
        <f>IF('MMR-Page1'!$V$15=TRUE,"#",CONCATENATE("IN",'MMR-Page1'!$C$13,'MMR-Page1'!$D$13,'MMR-Page1'!$E$13,'MMR-Page1'!$F$13,'MMR-Page1'!$G$13,'MMR-Page1'!$H$13,'MMR-Page1'!$I$13))</f>
        <v>IN   </v>
      </c>
      <c r="B5" s="232">
        <f>IF('MMR-Page1'!$V$15=TRUE,"",CONCATENATE('MMR-Page1'!$K$13,'MMR-Page1'!$L$13,'MMR-Page1'!$M$13))</f>
      </c>
      <c r="C5" s="226" t="str">
        <f>IF('MMR-Page1'!$V$15=TRUE,"",'MMR-Page1'!$N$13)</f>
        <v>CP</v>
      </c>
      <c r="D5" s="226" t="str">
        <f>IF('MMR-Page1'!$V$15=TRUE,"",CONCATENATE("20",'MMR-Page1'!$R$13,'MMR-Page1'!$S$13,"-",'MMR-Page1'!$P$13,'MMR-Page1'!$Q$13,"-",instructions!$O$70))</f>
        <v>2016-05-31</v>
      </c>
      <c r="E5" s="226">
        <f>IF('MMR-Page1'!$V$15=TRUE,"","")</f>
      </c>
      <c r="F5" s="226" t="str">
        <f>IF('MMR-Page1'!$V$15=TRUE,"",'MMR-Page1'!$K$20)</f>
        <v>00530</v>
      </c>
      <c r="G5" s="226" t="str">
        <f>IF('MMR-Page1'!$V$15=TRUE,"",'MMR-Page1'!$K$26)</f>
        <v>1</v>
      </c>
      <c r="H5" s="226">
        <f>IF('MMR-Page1'!$V$15=TRUE,"",'MMR-Page1'!$K$27)</f>
        <v>0</v>
      </c>
      <c r="I5" s="233">
        <f>IF('MMR-Page1'!$V$15=TRUE,"",IF('MMR-Page1'!$K$17="","",IF('MMR-Page1'!$K$18="Conc","",IF('MMR-Page1'!$K$24="-----","",IF('MMR-Page1'!$K$61=" ","9","")))))</f>
      </c>
      <c r="J5" s="234">
        <f>IF('MMR-Page1'!$V$15=TRUE,"",IF('MMR-Page1'!$K$17="","",IF('MMR-Page1'!$K$18="Conc","",IF('MMR-Page1'!$K$28="","=",""))))</f>
      </c>
      <c r="K5" s="233">
        <f>IF('MMR-Page1'!$V$15=TRUE,"",IF('MMR-Page1'!$K$17="","",IF('MMR-Page1'!$K$18="Conc","",IF('MMR-Page1'!$K$24="Report",'MMR-Page1'!$K$60,""))))</f>
      </c>
      <c r="L5" s="235"/>
      <c r="M5" s="233">
        <f>IF('MMR-Page1'!$V$15=TRUE,"",IF('MMR-Page1'!$K$17="","",IF('MMR-Page1'!$K$18="Conc","",IF('MMR-Page1'!$K$25="-----","",IF('MMR-Page1'!$K$61="","9","")))))</f>
      </c>
      <c r="N5" s="234">
        <f>IF('MMR-Page1'!$V$15=TRUE,"",IF('MMR-Page1'!$K$17="","",IF('MMR-Page1'!$K$18="Conc","",IF('MMR-Page1'!$K$28="","=",""))))</f>
      </c>
      <c r="O5" s="233">
        <f>IF('MMR-Page1'!$V$15=TRUE,"",IF('MMR-Page1'!$K$17="","",IF('MMR-Page1'!$K$18="Conc","",IF('MMR-Page1'!$K$25="Report",'MMR-Page1'!$K$61,""))))</f>
      </c>
      <c r="P5" s="235"/>
      <c r="Q5" s="233">
        <f>IF('MMR-Page1'!$V$15=TRUE,"",IF('MMR-Page1'!$K$17="","",IF('MMR-Page1'!$K$18="Conc","",IF('MMR-Page1'!$K$28="MGD","03",IF('MMR-Page1'!$K$28="Lb","55",IF('MMR-Page1'!$K$28="def F","15",""))))))</f>
      </c>
      <c r="R5" s="233">
        <f>IF('MMR-Page1'!$V$15=TRUE,"",IF('MMR-Page1'!$K$17="","",IF('MMR-Page1'!$K$18="Conc",IF('MMR-Page1'!$K$23="-----","",IF('MMR-Page1'!$K$62&gt;0,"","9")),"")))</f>
      </c>
      <c r="S5" s="234">
        <f>IF('MMR-Page1'!$V$15=TRUE,"",IF('MMR-Page1'!$K$17="","",IF('MMR-Page1'!$K$18="Loading","",IF('MMR-Page1'!$K$61="","",IF('MMR-Page1'!$K$17="pH","&gt;",IF('MMR-Page1'!$K$17="Oxygen, dissolved [DO]","&gt;",""))))))</f>
      </c>
      <c r="T5" s="233">
        <f>IF('MMR-Page1'!$V$15=TRUE,"",IF('MMR-Page1'!$K$17="","",IF('MMR-Page1'!$K$18="Loading","",IF('MMR-Page1'!$K$23="Report",'MMR-Page1'!$K$62,""))))</f>
      </c>
      <c r="U5" s="235"/>
      <c r="V5" s="233">
        <f>IF('MMR-Page1'!$V$15=TRUE,"",IF('MMR-Page1'!$K$17="","",IF('MMR-Page1'!$K$18="Conc",IF('MMR-Page1'!$K$24="-----","",IF('MMR-Page1'!$K$60&gt;0,"","9")),"")))</f>
      </c>
      <c r="W5" s="234">
        <f>IF('MMR-Page1'!$V$15=TRUE,"",IF('MMR-Page1'!$K$17="","",IF('MMR-Page1'!$K$18="Loading","",IF('MMR-Page1'!$K$17="pH","",IF('MMR-Page1'!$K$17="Oxygen, dissolved [DO]","",IF('MMR-Page1'!$K$60="","",""))))))</f>
      </c>
      <c r="X5" s="233">
        <f>IF('MMR-Page1'!$V$15=TRUE,"",IF('MMR-Page1'!$K$17="","",IF('MMR-Page1'!$K$18="Loading","",IF('MMR-Page1'!$K$24="Report",'MMR-Page1'!$K$60,""))))</f>
      </c>
      <c r="Y5" s="235"/>
      <c r="Z5" s="233">
        <f>IF('MMR-Page1'!$V$15=TRUE,"",IF('MMR-Page1'!$K$17="","",IF('MMR-Page1'!$K$18="Conc",IF('MMR-Page1'!$K$25="-----","",IF('MMR-Page1'!$K$61&gt;0,"","9")),"")))</f>
      </c>
      <c r="AA5" s="234">
        <f>IF('MMR-Page1'!$V$15=TRUE,"",IF('MMR-Page1'!$K$17="","",IF('MMR-Page1'!$K$18="Loading","",IF('MMR-Page1'!$K$17="pH","&lt;",IF('MMR-Page1'!$K$61="","","")))))</f>
      </c>
      <c r="AB5" s="233">
        <f>IF('MMR-Page1'!$V$15=TRUE,"",IF('MMR-Page1'!$K$17="","",IF('MMR-Page1'!$K$18="Loading","",IF('MMR-Page1'!$K$25="Report",'MMR-Page1'!$K$61,""))))</f>
      </c>
      <c r="AC5" s="235"/>
      <c r="AD5" s="234" t="str">
        <f>IF('MMR-Page1'!$V$15=TRUE,"",IF('MMR-Page1'!$K$17="","",IF('MMR-Page1'!$K$18="Loading","",IF('MMR-Page1'!$K$28="MG/L","19",IF('MMR-Page1'!$K$28="SU","12",IF('MMR-Page1'!$K$28="C / 100 ML","3Z","="))))))</f>
        <v>19</v>
      </c>
      <c r="AE5" s="237"/>
      <c r="AF5" s="237" t="str">
        <f>IF('MMR-Page1'!$V$15=TRUE,"",IF('MMR-Page1'!$K$17="","",IF('MMR-Page1'!$K$21="Daily","01/01","")))</f>
        <v>01/01</v>
      </c>
      <c r="AG5" s="237" t="str">
        <f>IF('MMR-Page1'!$V$15=TRUE,"",IF('MMR-Page1'!$K$17="","",IF('MMR-Page1'!$K$19="24 Hr total","TM",(IF('MMR-Page1'!$K$19="Grab","GR",(IF('MMR-Page1'!$K$19="Composite","CP","")))))))</f>
        <v>CP</v>
      </c>
      <c r="AH5" s="226" t="str">
        <f>IF('MMR-Page1'!$V$15=TRUE,"",IF('MMR-Page1'!$K$17="","",IF(AND('MMR-Page1'!$K$60="",'MMR-Page1'!$K$61="",'MMR-Page1'!$K$62=""),"9","")))</f>
        <v>9</v>
      </c>
      <c r="AI5" s="249"/>
    </row>
    <row r="6" spans="1:35" s="156" customFormat="1" ht="15" customHeight="1">
      <c r="A6" s="238" t="str">
        <f>IF('MMR-Page1'!$V$15=TRUE,"#",CONCATENATE("IN",'MMR-Page1'!$C$13,'MMR-Page1'!$D$13,'MMR-Page1'!$E$13,'MMR-Page1'!$F$13,'MMR-Page1'!$G$13,'MMR-Page1'!$H$13,'MMR-Page1'!$I$13))</f>
        <v>IN   </v>
      </c>
      <c r="B6" s="232">
        <f>IF('MMR-Page1'!$V$15=TRUE,"",CONCATENATE('MMR-Page1'!$K$13,'MMR-Page1'!$L$13,'MMR-Page1'!$M$13))</f>
      </c>
      <c r="C6" s="226" t="str">
        <f>IF('MMR-Page1'!$V$15=TRUE,"",'MMR-Page1'!$N$13)</f>
        <v>CP</v>
      </c>
      <c r="D6" s="226" t="str">
        <f>IF('MMR-Page1'!$V$15=TRUE,"",CONCATENATE("20",'MMR-Page1'!$R$13,'MMR-Page1'!$S$13,"-",'MMR-Page1'!$P$13,'MMR-Page1'!$Q$13,"-",instructions!$O$70))</f>
        <v>2016-05-31</v>
      </c>
      <c r="E6" s="226">
        <f>IF('MMR-Page1'!$V$15=TRUE,"","")</f>
      </c>
      <c r="F6" s="226" t="str">
        <f>IF('MMR-Page1'!$V$15=TRUE,"",'MMR-Page1'!$M$20)</f>
        <v>00400</v>
      </c>
      <c r="G6" s="226" t="str">
        <f>IF('MMR-Page1'!$V$15=TRUE,"",'MMR-Page1'!$M$26)</f>
        <v>1</v>
      </c>
      <c r="H6" s="226">
        <f>IF('MMR-Page1'!$V$15=TRUE,"",'MMR-Page1'!$M$27)</f>
        <v>0</v>
      </c>
      <c r="I6" s="233">
        <f>IF('MMR-Page1'!$V$15=TRUE,"",IF('MMR-Page1'!$M$17="","",IF('MMR-Page1'!$M$18="Conc","",IF('MMR-Page1'!$M$24="-----","",IF('MMR-Page1'!$M$61=" ","9","")))))</f>
      </c>
      <c r="J6" s="234">
        <f>IF('MMR-Page1'!$V$15=TRUE,"",IF('MMR-Page1'!$M$17="","",IF('MMR-Page1'!$M$18="Conc","",IF('MMR-Page1'!$M$28="","=",""))))</f>
      </c>
      <c r="K6" s="233">
        <f>IF('MMR-Page1'!$V$15=TRUE,"",IF('MMR-Page1'!$M$17="","",IF('MMR-Page1'!$M$18="Conc","",IF('MMR-Page1'!$M$24="Report",'MMR-Page1'!$M$60,""))))</f>
      </c>
      <c r="L6" s="235"/>
      <c r="M6" s="233">
        <f>IF('MMR-Page1'!$V$15=TRUE,"",IF('MMR-Page1'!$M$17="","",IF('MMR-Page1'!$M$18="Conc","",IF('MMR-Page1'!$M$25="-----","",IF('MMR-Page1'!$M$61="","9","")))))</f>
      </c>
      <c r="N6" s="234">
        <f>IF('MMR-Page1'!$V$15=TRUE,"",IF('MMR-Page1'!$M$17="","",IF('MMR-Page1'!$M$18="Conc","",IF('MMR-Page1'!$M$28="","=",""))))</f>
      </c>
      <c r="O6" s="233">
        <f>IF('MMR-Page1'!$V$15=TRUE,"",IF('MMR-Page1'!$M$17="","",IF('MMR-Page1'!$M$18="Conc","",IF('MMR-Page1'!$M$25="Report",'MMR-Page1'!$M$61,""))))</f>
      </c>
      <c r="P6" s="236"/>
      <c r="Q6" s="233">
        <f>IF('MMR-Page1'!$V$15=TRUE,"",IF('MMR-Page1'!$M$17="","",IF('MMR-Page1'!$M$18="Conc","",IF('MMR-Page1'!$M$28="MGD","03",IF('MMR-Page1'!$M$28="Lb","55",IF('MMR-Page1'!$M$28="def F","15",""))))))</f>
      </c>
      <c r="R6" s="233">
        <f>IF('MMR-Page1'!$V$15=TRUE,"",IF('MMR-Page1'!$M$17="","",IF('MMR-Page1'!$M$18="Conc",IF('MMR-Page1'!$M$23="-----","",IF('MMR-Page1'!$M$62&gt;0,"","9")),"")))</f>
      </c>
      <c r="S6" s="234">
        <f>IF('MMR-Page1'!$V$15=TRUE,"",IF('MMR-Page1'!$M$17="","",IF('MMR-Page1'!$M$18="Loading","",IF('MMR-Page1'!$M$61="","",IF('MMR-Page1'!$M$17="pH","&gt;",IF('MMR-Page1'!$M$17="Oxygen, dissolved [DO]","&gt;",""))))))</f>
      </c>
      <c r="T6" s="233">
        <f>IF('MMR-Page1'!$V$15=TRUE,"",IF('MMR-Page1'!$M$17="","",IF('MMR-Page1'!$M$18="Loading","",IF('MMR-Page1'!$M$23="Report",'MMR-Page1'!$M$62,""))))</f>
      </c>
      <c r="U6" s="235"/>
      <c r="V6" s="233">
        <f>IF('MMR-Page1'!$V$15=TRUE,"",IF('MMR-Page1'!$M$17="","",IF('MMR-Page1'!$M$18="Conc",IF('MMR-Page1'!$M$24="-----","",IF('MMR-Page1'!$M$60&gt;0,"","9")),"")))</f>
      </c>
      <c r="W6" s="234">
        <f>IF('MMR-Page1'!$V$15=TRUE,"",IF('MMR-Page1'!$M$17="","",IF('MMR-Page1'!$M$18="Loading","",IF('MMR-Page1'!$M$17="pH","",IF('MMR-Page1'!$M$17="Oxygen, dissolved [DO]","",IF('MMR-Page1'!$M$60="","",""))))))</f>
      </c>
      <c r="X6" s="233">
        <f>IF('MMR-Page1'!$V$15=TRUE,"",IF('MMR-Page1'!$M$17="","",IF('MMR-Page1'!$M$18="Loading","",IF('MMR-Page1'!$M$24="Report",'MMR-Page1'!$M$60,""))))</f>
      </c>
      <c r="Y6" s="235"/>
      <c r="Z6" s="233">
        <f>IF('MMR-Page1'!$V$15=TRUE,"",IF('MMR-Page1'!$M$17="","",IF('MMR-Page1'!$M$18="Conc",IF('MMR-Page1'!$M$25="-----","",IF('MMR-Page1'!$M$61&gt;0,"","9")),"")))</f>
      </c>
      <c r="AA6" s="234" t="str">
        <f>IF('MMR-Page1'!$V$15=TRUE,"",IF('MMR-Page1'!$M$17="","",IF('MMR-Page1'!$M$18="Loading","",IF('MMR-Page1'!$M$17="pH","&lt;",IF('MMR-Page1'!$M$61="","","")))))</f>
        <v>&lt;</v>
      </c>
      <c r="AB6" s="233">
        <f>IF('MMR-Page1'!$V$15=TRUE,"",IF('MMR-Page1'!$M$17="","",IF('MMR-Page1'!$M$18="Loading","",IF('MMR-Page1'!$M$25="Report",'MMR-Page1'!$M$61,""))))</f>
      </c>
      <c r="AC6" s="236"/>
      <c r="AD6" s="234" t="str">
        <f>IF('MMR-Page1'!$V$15=TRUE,"",IF('MMR-Page1'!$M$17="","",IF('MMR-Page1'!$M$18="Loading","",IF('MMR-Page1'!$M$28="MG/L","19",IF('MMR-Page1'!$M$28="Hi","12",IF('MMR-Page1'!$M$28="C / 100 ML","3Z","="))))))</f>
        <v>12</v>
      </c>
      <c r="AE6" s="237"/>
      <c r="AF6" s="237" t="str">
        <f>IF('MMR-Page1'!$V$15=TRUE,"",IF('MMR-Page1'!$M$17="","",IF('MMR-Page1'!$M$21="Daily","01/01","")))</f>
        <v>01/01</v>
      </c>
      <c r="AG6" s="237" t="str">
        <f>IF('MMR-Page1'!$V$15=TRUE,"",IF('MMR-Page1'!$M$17="","",IF('MMR-Page1'!$M$19="24 Hr total","TM",(IF('MMR-Page1'!$M$19="Grab","GR",(IF('MMR-Page1'!$M$19="Composite","CP","")))))))</f>
        <v>GR</v>
      </c>
      <c r="AH6" s="226" t="str">
        <f>IF('MMR-Page1'!$V$15=TRUE,"",IF('MMR-Page1'!$M$17="","",IF(AND('MMR-Page1'!$M$60="",'MMR-Page1'!$M$61="",'MMR-Page1'!$M$62=""),"9","")))</f>
        <v>9</v>
      </c>
      <c r="AI6" s="248"/>
    </row>
    <row r="7" spans="1:35" s="158" customFormat="1" ht="15" customHeight="1">
      <c r="A7" s="238" t="str">
        <f>IF('MMR-Page1'!$V$15=TRUE,"#",IF('MMR-Page1'!O$17="","#",CONCATENATE("IN",'MMR-Page1'!$C$13,'MMR-Page1'!$D$13,'MMR-Page1'!$E$13,'MMR-Page1'!$F$13,'MMR-Page1'!$G$13,'MMR-Page1'!$H$13,'MMR-Page1'!$I$13)))</f>
        <v>IN   </v>
      </c>
      <c r="B7" s="232">
        <f>IF('MMR-Page1'!$V$15=TRUE,"",IF('MMR-Page1'!O$17="","",CONCATENATE('MMR-Page1'!$K$13,'MMR-Page1'!$L$13,'MMR-Page1'!$M$13)))</f>
      </c>
      <c r="C7" s="226" t="str">
        <f>IF('MMR-Page1'!$V$15=TRUE,"",IF('MMR-Page1'!$O$17="","",'MMR-Page1'!$N$13))</f>
        <v>CP</v>
      </c>
      <c r="D7" s="226" t="str">
        <f>IF('MMR-Page1'!$V$15=TRUE,"",IF('MMR-Page1'!O$17="","",CONCATENATE("20",'MMR-Page1'!$R$13,'MMR-Page1'!$S$13,"-",'MMR-Page1'!$P$13,'MMR-Page1'!$Q$13,"-",instructions!$O$70)))</f>
        <v>2016-05-31</v>
      </c>
      <c r="E7" s="226">
        <f>IF('MMR-Page1'!$V$15=TRUE,"","")</f>
      </c>
      <c r="F7" s="226" t="str">
        <f>IF('MMR-Page1'!$V$15=TRUE,"",IF('MMR-Page1'!O$17="","",'MMR-Page1'!$O$20))</f>
        <v>50060</v>
      </c>
      <c r="G7" s="226" t="str">
        <f>IF('MMR-Page1'!$V$15=TRUE,"",IF('MMR-Page1'!O$17="","",'MMR-Page1'!$O$26))</f>
        <v>1</v>
      </c>
      <c r="H7" s="226" t="str">
        <f>IF('MMR-Page1'!$V$15=TRUE,"",IF('MMR-Page1'!O$17="","",'MMR-Page1'!$O$27))</f>
        <v>0</v>
      </c>
      <c r="I7" s="233">
        <f>IF('MMR-Page1'!$V$15=TRUE,"",IF('MMR-Page1'!$O$17="","",IF('MMR-Page1'!$O$18="Conc","",IF('MMR-Page1'!$O$24="-----","",IF('MMR-Page1'!$O$61=" ","9","")))))</f>
      </c>
      <c r="J7" s="234">
        <f>IF('MMR-Page1'!$V$15=TRUE,"",IF('MMR-Page1'!$O$17="","",IF('MMR-Page1'!$O$18="Conc","",IF('MMR-Page1'!$O$28="","=",""))))</f>
      </c>
      <c r="K7" s="233">
        <f>IF('MMR-Page1'!$V$15=TRUE,"",IF('MMR-Page1'!$O$17="","",IF('MMR-Page1'!$O$18="Conc","",IF('MMR-Page1'!$O$24="Report",'MMR-Page1'!$O$60,""))))</f>
      </c>
      <c r="L7" s="235"/>
      <c r="M7" s="233">
        <f>IF('MMR-Page1'!$V$15=TRUE,"",IF('MMR-Page1'!$O$17="","",IF('MMR-Page1'!$O$18="Conc","",IF('MMR-Page1'!$O$25="-----","",IF('MMR-Page1'!$O$61="","9","")))))</f>
      </c>
      <c r="N7" s="234">
        <f>IF('MMR-Page1'!$V$15=TRUE,"",IF('MMR-Page1'!$O$17="","",IF('MMR-Page1'!$O$18="Conc","",IF('MMR-Page1'!$O$28="","=",""))))</f>
      </c>
      <c r="O7" s="233">
        <f>IF('MMR-Page1'!$V$15=TRUE,"",IF('MMR-Page1'!$O$17="","",IF('MMR-Page1'!$O$18="Conc","",IF('MMR-Page1'!$O$25="Report",'MMR-Page1'!$O$61,""))))</f>
      </c>
      <c r="P7" s="235"/>
      <c r="Q7" s="233">
        <f>IF('MMR-Page1'!$V$15=TRUE,"",IF('MMR-Page1'!$O$17="","",IF('MMR-Page1'!$O$18="Conc","",IF('MMR-Page1'!$O$28="MGD","03",IF('MMR-Page1'!$O$28="Lb","55",IF('MMR-Page1'!$O$28="def F","15",""))))))</f>
      </c>
      <c r="R7" s="233">
        <f>IF('MMR-Page1'!$V$15=TRUE,"",IF('MMR-Page1'!$O$17="","",IF('MMR-Page1'!$O$18="Conc",IF('MMR-Page1'!$O$23="-----","",IF('MMR-Page1'!$O$62&gt;0,"","9")),"")))</f>
      </c>
      <c r="S7" s="234">
        <f>IF('MMR-Page1'!$V$15=TRUE,"",IF('MMR-Page1'!$O$17="","",IF('MMR-Page1'!$O$18="Loading","",IF('MMR-Page1'!$O$61="","",IF('MMR-Page1'!$O$17="pH","&gt;",IF('MMR-Page1'!$O$17="Oxygen, dissolved [DO]","&gt;",""))))))</f>
      </c>
      <c r="T7" s="233">
        <f>IF('MMR-Page1'!$V$15=TRUE,"",IF('MMR-Page1'!$O$17="","",IF('MMR-Page1'!$O$18="Loading","",IF('MMR-Page1'!$O$23="Report",'MMR-Page1'!$O$62,""))))</f>
      </c>
      <c r="U7" s="235"/>
      <c r="V7" s="233">
        <f>IF('MMR-Page1'!$V$15=TRUE,"",IF('MMR-Page1'!$O$17="","",IF('MMR-Page1'!$O$18="Loading","",IF('MMR-Page1'!$O$24="-----","",IF('NetDMR Data Upload'!$AH$7="9","",IF('MMR-Page1'!$O$60&gt;0,"","9"))))))</f>
      </c>
      <c r="W7" s="234">
        <f>IF('MMR-Page1'!$V$15=TRUE,"",IF('MMR-Page1'!$O$17="","",IF('MMR-Page1'!$O$18="Loading","",IF('MMR-Page1'!$O$17="pH","",IF('MMR-Page1'!$O$17="Oxygen, dissolved [DO]","",IF('MMR-Page1'!$O$60="","",""))))))</f>
      </c>
      <c r="X7" s="233">
        <f>IF('MMR-Page1'!$V$15=TRUE,"",IF('MMR-Page1'!$O$17="","",IF('MMR-Page1'!$O$18="Loading","",IF('MMR-Page1'!$O$24="Report",IF('MMR-Page1'!$O$60="","",'MMR-Page1'!$O$60)))))</f>
      </c>
      <c r="Y7" s="235"/>
      <c r="Z7" s="233">
        <f>IF('MMR-Page1'!$V$15=TRUE,"",IF('MMR-Page1'!$O$17="","",IF('MMR-Page1'!$O$18="Loading","",IF('MMR-Page1'!$O$25="-----","",IF('NetDMR Data Upload'!$AH$7="9","",IF('MMR-Page1'!$O$61&gt;0,"","9"))))))</f>
      </c>
      <c r="AA7" s="234">
        <f>IF('MMR-Page1'!$V$15=TRUE,"",IF('MMR-Page1'!$O$17="","",IF('MMR-Page1'!$O$18="Loading","",IF('MMR-Page1'!$O$17="pH","&lt;",IF('MMR-Page1'!$O$61="","","")))))</f>
      </c>
      <c r="AB7" s="233">
        <f>IF('MMR-Page1'!$V$15=TRUE,"",IF('MMR-Page1'!$O$17="","",IF('MMR-Page1'!$O$18="Loading","",IF('MMR-Page1'!$O$25="Report",IF('MMR-Page1'!$O$61="","",'MMR-Page1'!$O$61)))))</f>
      </c>
      <c r="AC7" s="235"/>
      <c r="AD7" s="234" t="str">
        <f>IF('MMR-Page1'!$V$15=TRUE,"",IF('MMR-Page1'!$O$17="","",IF('MMR-Page1'!$O$18="Loading","",IF('MMR-Page1'!$P$28="MG/L","19",IF('MMR-Page1'!$P$28="Hi","12",IF('MMR-Page1'!$P$28="C / 100 ML","3Z","="))))))</f>
        <v>19</v>
      </c>
      <c r="AE7" s="237"/>
      <c r="AF7" s="237" t="str">
        <f>IF('MMR-Page1'!$V$15=TRUE,"",IF('MMR-Page1'!$O$17="","",IF('MMR-Page1'!$O$21="Daily","01/01","")))</f>
        <v>01/01</v>
      </c>
      <c r="AG7" s="237" t="str">
        <f>IF('MMR-Page1'!$V$15=TRUE,"",IF('MMR-Page1'!$O$17="","",IF('MMR-Page1'!$O$19="24 Hr total","TM",(IF('MMR-Page1'!$O$19="Grab","GR",(IF('MMR-Page1'!$O$19="Composite","CP","")))))))</f>
        <v>GR</v>
      </c>
      <c r="AH7" s="226" t="str">
        <f>IF('MMR-Page1'!$V$15=TRUE,"",IF('MMR-Page1'!$O$17="","",IF(AND('MMR-Page1'!$P$60="",'MMR-Page1'!$P$61="",'MMR-Page1'!$P$62=""),"9","")))</f>
        <v>9</v>
      </c>
      <c r="AI7" s="250"/>
    </row>
    <row r="8" spans="1:35" s="158" customFormat="1" ht="15" customHeight="1">
      <c r="A8" s="238" t="str">
        <f>IF('MMR-Page1'!$V$15=TRUE,"#",IF('MMR-Page1'!Q$17="","#",CONCATENATE("IN",'MMR-Page1'!$C$13,'MMR-Page1'!$D$13,'MMR-Page1'!$E$13,'MMR-Page1'!$F$13,'MMR-Page1'!$G$13,'MMR-Page1'!$H$13,'MMR-Page1'!$I$13)))</f>
        <v>IN   </v>
      </c>
      <c r="B8" s="232">
        <f>IF('MMR-Page1'!$V$15=TRUE,"",IF('MMR-Page1'!Q$17="","",CONCATENATE('MMR-Page1'!$K$13,'MMR-Page1'!$L$13,'MMR-Page1'!$M$13)))</f>
      </c>
      <c r="C8" s="226" t="str">
        <f>IF('MMR-Page1'!$V$15=TRUE,"",IF('MMR-Page1'!Q$17="","",'MMR-Page1'!$N$13))</f>
        <v>CP</v>
      </c>
      <c r="D8" s="226" t="str">
        <f>IF('MMR-Page1'!$V$15=TRUE,"",IF('MMR-Page1'!Q$17="","",CONCATENATE("20",'MMR-Page1'!$R$13,'MMR-Page1'!$S$13,"-",'MMR-Page1'!$P$13,'MMR-Page1'!$Q$13,"-",instructions!$O$70)))</f>
        <v>2016-05-31</v>
      </c>
      <c r="E8" s="226">
        <f>IF('MMR-Page1'!$V$15=TRUE,"","")</f>
      </c>
      <c r="F8" s="226" t="str">
        <f>IF('MMR-Page1'!$V$15=TRUE,"",'MMR-Page1'!$Q$20)</f>
        <v>51041</v>
      </c>
      <c r="G8" s="226" t="str">
        <f>IF('MMR-Page1'!$V$15=TRUE,"",'MMR-Page1'!$Q$26)</f>
        <v>1</v>
      </c>
      <c r="H8" s="226" t="str">
        <f>IF('MMR-Page1'!$V$15=TRUE,"",'MMR-Page1'!$Q$27)</f>
        <v>0</v>
      </c>
      <c r="I8" s="233">
        <f>IF('MMR-Page1'!$V$15=TRUE,"",IF('MMR-Page1'!$Q$17="","",IF('MMR-Page1'!$Q$18="Conc","",IF('MMR-Page1'!$Q$24="-----","",IF('MMR-Page1'!$Q$61=" ","9","")))))</f>
      </c>
      <c r="J8" s="234">
        <f>IF('MMR-Page1'!$V$15=TRUE,"",IF('MMR-Page1'!$Q$17="","",IF('MMR-Page1'!$Q$18="Conc","",IF('MMR-Page1'!$Q$28="","=",""))))</f>
      </c>
      <c r="K8" s="233">
        <f>IF('MMR-Page1'!$V$15=TRUE,"",IF('MMR-Page1'!$Q$17="","",IF('MMR-Page1'!$Q$18="Conc","",IF('MMR-Page1'!$Q$24="Report",'MMR-Page1'!$Q$60,""))))</f>
      </c>
      <c r="L8" s="235"/>
      <c r="M8" s="233">
        <f>IF('MMR-Page1'!$V$15=TRUE,"",IF('MMR-Page1'!$Q$17="","",IF('MMR-Page1'!$Q$18="Conc","",IF('MMR-Page1'!$Q$25="-----","",IF('MMR-Page1'!$Q$61="","9","")))))</f>
      </c>
      <c r="N8" s="234">
        <f>IF('MMR-Page1'!$V$15=TRUE,"",IF('MMR-Page1'!$Q$17="","",IF('MMR-Page1'!$Q$18="Conc","",IF('MMR-Page1'!$Q$28="","=",""))))</f>
      </c>
      <c r="O8" s="233">
        <f>IF('MMR-Page1'!$V$15=TRUE,"",IF('MMR-Page1'!$Q$17="","",IF('MMR-Page1'!$Q$18="Conc","",IF('MMR-Page1'!$Q$25="Report",'MMR-Page1'!$Q$61,""))))</f>
      </c>
      <c r="P8" s="235"/>
      <c r="Q8" s="233">
        <f>IF('MMR-Page1'!$V$15=TRUE,"",IF('MMR-Page1'!$Q$17="","",IF('MMR-Page1'!$Q$18="Conc","",IF('MMR-Page1'!$Q$28="MGD","03",IF('MMR-Page1'!$Q$28="Lb","55",IF('MMR-Page1'!$Q$28="def F","15",""))))))</f>
      </c>
      <c r="R8" s="233">
        <f>IF('MMR-Page1'!$V$15=TRUE,"",IF('MMR-Page1'!$Q$17="","",IF('MMR-Page1'!$Q$18="Conc",IF('MMR-Page1'!$Q$23="-----","",IF('MMR-Page1'!$R$62="","","")),"")))</f>
      </c>
      <c r="S8" s="234">
        <f>IF('MMR-Page1'!$V$15=TRUE,"",IF('MMR-Page1'!$Q$17="","",IF('MMR-Page1'!$Q$18="Loading","",IF('MMR-Page1'!$Q$61="","",IF('MMR-Page1'!$Q$17="pH","&gt;",IF('MMR-Page1'!$Q$17="Oxygen, dissolved [DO]","&gt;",""))))))</f>
      </c>
      <c r="T8" s="233">
        <f>IF('MMR-Page1'!$V$15=TRUE,"",IF('MMR-Page1'!$Q$17="","",IF('MMR-Page1'!$Q$18="Loading","",IF('MMR-Page1'!$Q$23="Report",'MMR-Page1'!$R$62,""))))</f>
      </c>
      <c r="U8" s="235"/>
      <c r="V8" s="233">
        <f>IF('MMR-Page1'!$V$15=TRUE,"",IF('MMR-Page1'!$Q$17="","",IF('MMR-Page1'!$Q$18="Conc",IF('MMR-Page1'!$Q$24="-----","",IF('MMR-Page1'!$R$60&gt;0,"","9")),"")))</f>
      </c>
      <c r="W8" s="234">
        <f>IF('MMR-Page1'!$V$15=TRUE,"",IF('MMR-Page1'!$Q$17="","",IF('MMR-Page1'!$Q$18="Loading","",IF('MMR-Page1'!$Q$17="pH","",IF('MMR-Page1'!$Q$17="Oxygen, dissolved [DO]","",IF('MMR-Page1'!$Q$25="","",IF('MMR-Page1'!$R$60="","","&lt;")))))))</f>
      </c>
      <c r="X8" s="233">
        <f>IF('MMR-Page1'!$V$15=TRUE,"",IF('MMR-Page1'!$Q$17="","",IF('MMR-Page1'!$Q$18="Loading","",IF('MMR-Page1'!$Q$24="","",'MMR-Page1'!$R$60))))</f>
      </c>
      <c r="Y8" s="235"/>
      <c r="Z8" s="233">
        <f>IF('MMR-Page1'!$V$15=TRUE,"",IF('MMR-Page1'!$Q$17="","",IF('MMR-Page1'!$Q$18="Conc",IF('MMR-Page1'!$Q$25="-----","",IF('MMR-Page1'!$R$61&gt;0,"","9")),"")))</f>
      </c>
      <c r="AA8" s="234">
        <f>IF('MMR-Page1'!$V$15=TRUE,"",IF('MMR-Page1'!$Q$17="","",IF('MMR-Page1'!$Q$18="Loading","",IF('MMR-Page1'!$Q$17="pH","&lt;",IF('MMR-Page1'!$Q$25="","",IF('MMR-Page1'!$R$60="","","&lt;"))))))</f>
      </c>
      <c r="AB8" s="233">
        <f>IF('MMR-Page1'!$V$15=TRUE,"",IF('MMR-Page1'!$Q$17="","",IF('MMR-Page1'!$Q$18="Loading","",IF('MMR-Page1'!$Q$25="","",'MMR-Page1'!$R$61))))</f>
      </c>
      <c r="AC8" s="235"/>
      <c r="AD8" s="234" t="str">
        <f>IF('MMR-Page1'!$V$15=TRUE,"",IF('MMR-Page1'!$Q$17="","",IF('MMR-Page1'!$Q$18="Loading","",IF('MMR-Page1'!$R$28="MG/L","19",IF('MMR-Page1'!$R$28="Hi","12",IF('MMR-Page1'!$R$28="C / 100 ML","3Z","="))))))</f>
        <v>3Z</v>
      </c>
      <c r="AE8" s="237"/>
      <c r="AF8" s="237" t="str">
        <f>IF('MMR-Page1'!$V$15=TRUE,"",IF('MMR-Page1'!$Q$17="","",IF('MMR-Page1'!$Q$21="Daily","01/01","")))</f>
        <v>01/01</v>
      </c>
      <c r="AG8" s="237" t="str">
        <f>IF('MMR-Page1'!$V$15=TRUE,"",IF('MMR-Page1'!$Q$17="","",IF('MMR-Page1'!$Q$19="24 Hr total","TM",(IF('MMR-Page1'!$Q$19="Grab","GR",(IF('MMR-Page1'!$Q$19="Composite","CP","")))))))</f>
        <v>GR</v>
      </c>
      <c r="AH8" s="226" t="str">
        <f>IF('MMR-Page1'!$V$15=TRUE,"",IF('MMR-Page1'!$Q$17="","",IF(AND('MMR-Page1'!$R$60="",'MMR-Page1'!$R$61="",'MMR-Page1'!$R$62=""),"9","")))</f>
        <v>9</v>
      </c>
      <c r="AI8" s="250">
        <f>IF('NetDMR Data Upload'!$A$10="",";","")</f>
      </c>
    </row>
    <row r="9" spans="1:35" s="158" customFormat="1" ht="15" customHeight="1">
      <c r="A9" s="238" t="str">
        <f>IF('MMR-Page1'!$V$15=TRUE,"#",IF('MMR-Page1'!Q$17="","#",CONCATENATE("IN",'MMR-Page1'!$C$13,'MMR-Page1'!$D$13,'MMR-Page1'!$E$13,'MMR-Page1'!$F$13,'MMR-Page1'!$G$13,'MMR-Page1'!$H$13,'MMR-Page1'!$I$13)))</f>
        <v>IN   </v>
      </c>
      <c r="B9" s="232">
        <f>IF('MMR-Page1'!$V$15=TRUE,"",IF('MMR-Page1'!Q$17="","",CONCATENATE('MMR-Page1'!$K$13,'MMR-Page1'!$L$13,'MMR-Page1'!$M$13)))</f>
      </c>
      <c r="C9" s="226" t="str">
        <f>IF('MMR-Page1'!$V$15=TRUE,"",IF('MMR-Page1'!Q$17="","",'MMR-Page1'!$N$13))</f>
        <v>CP</v>
      </c>
      <c r="D9" s="226" t="str">
        <f>IF('MMR-Page1'!$V$15=TRUE,"",IF('MMR-Page1'!Q$17="","",CONCATENATE("20",'MMR-Page1'!$R$13,'MMR-Page1'!$S$13,"-",'MMR-Page1'!$P$13,'MMR-Page1'!$Q$13,"-",instructions!$O$70)))</f>
        <v>2016-05-31</v>
      </c>
      <c r="E9" s="226">
        <f>IF('MMR-Page1'!$V$15=TRUE,"","")</f>
      </c>
      <c r="F9" s="226" t="str">
        <f>IF('MMR-Page1'!$V$15=TRUE,"",IF('MMR-Page1'!Q$17="","","51484"))</f>
        <v>51484</v>
      </c>
      <c r="G9" s="226" t="str">
        <f>IF('MMR-Page1'!$V$15=TRUE,"",IF('MMR-Page1'!Q$17="","","Y"))</f>
        <v>Y</v>
      </c>
      <c r="H9" s="226" t="str">
        <f>IF('MMR-Page1'!$V$15=TRUE,"",IF('MMR-Page1'!Q$17="","",'MMR-Page1'!$Q$27))</f>
        <v>0</v>
      </c>
      <c r="I9" s="233"/>
      <c r="J9" s="234"/>
      <c r="K9" s="233"/>
      <c r="L9" s="235"/>
      <c r="M9" s="233">
        <f>IF('MMR-Page1'!$V$15=TRUE,"",IF('MMR-Page1'!$Q$17="","",IF('MMR-Page1'!$Q$18="Conc","",IF('MMR-Page1'!$Q$25="-----","",IF('MMR-Page1'!$Q$61="","9","")))))</f>
      </c>
      <c r="N9" s="234"/>
      <c r="O9" s="234">
        <f>IF('MMR-Page1'!$V$15=TRUE,"",IF('MMR-Page1'!$Q$17="","",IF('MMR-Page1'!$R$60="","",COUNT('MMR-Page1'!$AA$29:'MMR-Page1'!$AA$59))))</f>
      </c>
      <c r="P9" s="235"/>
      <c r="Q9" s="233">
        <f>IF('MMR-Page1'!$V$15=TRUE,"",IF('MMR-Page1'!$Q$17="","",IF($AH$9="9","","5J")))</f>
      </c>
      <c r="R9" s="233"/>
      <c r="S9" s="234"/>
      <c r="T9" s="233"/>
      <c r="U9" s="235"/>
      <c r="V9" s="233"/>
      <c r="W9" s="234"/>
      <c r="X9" s="233"/>
      <c r="Y9" s="235"/>
      <c r="Z9" s="233">
        <f>IF('MMR-Page1'!$V$15=TRUE,"",IF('MMR-Page1'!$Q$17="","",IF('MMR-Page1'!$AC$60="0","9",IF($AH$9="9","",""))))</f>
      </c>
      <c r="AA9" s="234"/>
      <c r="AB9" s="234">
        <f>IF('MMR-Page1'!$V$15=TRUE,"",IF('MMR-Page1'!$Q$17="","",IF('MMR-Page1'!$R$60="","",COUNT('MMR-Page1'!$AA$29:'MMR-Page1'!$AA$59))))</f>
      </c>
      <c r="AC9" s="235"/>
      <c r="AD9" s="234" t="str">
        <f>IF('MMR-Page1'!$V$15=TRUE,"",IF('MMR-Page1'!$Q$17="","","4X"))</f>
        <v>4X</v>
      </c>
      <c r="AE9" s="237"/>
      <c r="AF9" s="237" t="str">
        <f>IF('MMR-Page1'!$V$15=TRUE,"",IF('MMR-Page1'!$Q$17="","","01/30"))</f>
        <v>01/30</v>
      </c>
      <c r="AG9" s="237" t="str">
        <f>IF('MMR-Page1'!$V$15=TRUE,"",IF('MMR-Page1'!$Q$17="","","RT"))</f>
        <v>RT</v>
      </c>
      <c r="AH9" s="226" t="str">
        <f>IF('MMR-Page1'!$V$15=TRUE,"",IF('MMR-Page1'!$Q$17="","",IF(AND('MMR-Page1'!$R$60="",'MMR-Page1'!$R$61="",'MMR-Page1'!$R$62=""),"9","")))</f>
        <v>9</v>
      </c>
      <c r="AI9" s="250"/>
    </row>
    <row r="10" spans="1:35" s="158" customFormat="1" ht="15" customHeight="1">
      <c r="A10" s="238" t="str">
        <f>IF('MMR-Page1'!$V$15=TRUE,"#",IF('MMR-Page1'!S$17="","#",CONCATENATE("IN",'MMR-Page1'!$C$13,'MMR-Page1'!$D$13,'MMR-Page1'!$E$13,'MMR-Page1'!$F$13,'MMR-Page1'!$G$13,'MMR-Page1'!$H$13,'MMR-Page1'!$I$13)))</f>
        <v>#</v>
      </c>
      <c r="B10" s="232">
        <f>IF('MMR-Page1'!$V$15=TRUE,"",IF('MMR-Page1'!S$17="","",CONCATENATE('MMR-Page1'!$K$13,'MMR-Page1'!$L$13,'MMR-Page1'!$M$13)))</f>
      </c>
      <c r="C10" s="226">
        <f>IF('MMR-Page1'!$V$15=TRUE,"",IF('MMR-Page1'!S$17="","",'MMR-Page1'!$N$13))</f>
      </c>
      <c r="D10" s="226">
        <f>IF('MMR-Page1'!$V$15=TRUE,"",IF('MMR-Page1'!S$17="","",CONCATENATE("20",'MMR-Page1'!$R$13,'MMR-Page1'!$S$13,"-",'MMR-Page1'!$P$13,'MMR-Page1'!$Q$13,"-",instructions!$O$70)))</f>
      </c>
      <c r="E10" s="226">
        <f>IF('MMR-Page1'!$V$15=TRUE,"","")</f>
      </c>
      <c r="F10" s="226">
        <f>IF('MMR-Page1'!$V$15=TRUE,"",'MMR-Page1'!$S$20)</f>
      </c>
      <c r="G10" s="226">
        <f>IF('MMR-Page1'!$V$15=TRUE,"",'MMR-Page1'!$S$26)</f>
      </c>
      <c r="H10" s="226">
        <f>IF('MMR-Page1'!$V$15=TRUE,"",'MMR-Page1'!$S$27)</f>
      </c>
      <c r="I10" s="233">
        <f>IF('MMR-Page1'!$V$15=TRUE,"",IF('MMR-Page1'!$S$17="","",IF('MMR-Page1'!$S$18="Conc","",IF('MMR-Page1'!$S$24="-----","",IF('MMR-Page1'!$S$61=" ","9","")))))</f>
      </c>
      <c r="J10" s="234">
        <f>IF('MMR-Page1'!$V$15=TRUE,"",IF('MMR-Page1'!$S$17="","",IF('MMR-Page1'!$S$18="Conc","",IF('MMR-Page1'!$S$28="","=",""))))</f>
      </c>
      <c r="K10" s="233">
        <f>IF('MMR-Page1'!$V$15=TRUE,"",IF('MMR-Page1'!$S$17="","",IF('MMR-Page1'!$S$18="Conc","",IF('MMR-Page1'!$S$24="Report",'MMR-Page1'!$S$60,""))))</f>
      </c>
      <c r="L10" s="235"/>
      <c r="M10" s="233">
        <f>IF('MMR-Page1'!$V$15=TRUE,"",IF('MMR-Page1'!$S$17="","",IF('MMR-Page1'!$S$18="Conc","",IF('MMR-Page1'!$S$25="-----","",IF('MMR-Page1'!$S$61="","9","")))))</f>
      </c>
      <c r="N10" s="234">
        <f>IF('MMR-Page1'!$V$15=TRUE,"",IF('MMR-Page1'!$S$17="","",IF('MMR-Page1'!$S$18="Conc","",IF('MMR-Page1'!$S$28="","=",""))))</f>
      </c>
      <c r="O10" s="233">
        <f>IF('MMR-Page1'!$V$15=TRUE,"",IF('MMR-Page1'!$S$17="","",IF('MMR-Page1'!$S$18="Conc","",IF('MMR-Page1'!$S$25="Report",'MMR-Page1'!$S$61,""))))</f>
      </c>
      <c r="P10" s="235"/>
      <c r="Q10" s="233">
        <f>IF('MMR-Page1'!$V$15=TRUE,"",IF('MMR-Page1'!$S$17="","",IF('MMR-Page1'!$S$18="Conc","",IF('MMR-Page1'!$S$28="MGD","03",IF('MMR-Page1'!$S$28="Lb","55",IF('MMR-Page1'!$S$28="def F","15",""))))))</f>
      </c>
      <c r="R10" s="233">
        <f>IF('MMR-Page1'!$V$15=TRUE,"",IF('MMR-Page1'!$S$17="","",IF('MMR-Page1'!$S$18="Conc",IF('MMR-Page1'!$S$23="-----","",IF('MMR-Page1'!$S$62&gt;0,"","9")),"")))</f>
      </c>
      <c r="S10" s="234">
        <f>IF('MMR-Page1'!$V$15=TRUE,"",IF('MMR-Page1'!$S$17="","",IF('MMR-Page1'!$S$18="Loading","",IF('MMR-Page1'!$S$61="","",IF('MMR-Page1'!$S$17="pH","&gt;",IF('MMR-Page1'!$S$17="Oxygen, dissolved [DO]","&gt;",""))))))</f>
      </c>
      <c r="T10" s="233">
        <f>IF('MMR-Page1'!$V$15=TRUE,"",IF('MMR-Page1'!$S$17="","",IF('MMR-Page1'!$S$18="Loading","",IF('MMR-Page1'!$S$23="Report",'MMR-Page1'!$S$62,""))))</f>
      </c>
      <c r="U10" s="235"/>
      <c r="V10" s="233">
        <f>IF('MMR-Page1'!$V$15=TRUE,"",IF('MMR-Page1'!$S$17="","",IF('MMR-Page1'!$S$18="Conc",IF('MMR-Page1'!$S$24="-----","",IF('MMR-Page1'!$S$60&gt;0,"","9")),"")))</f>
      </c>
      <c r="W10" s="234">
        <f>IF('MMR-Page1'!$V$15=TRUE,"",IF('MMR-Page1'!$S$17="","",IF('MMR-Page1'!$S$18="Loading","",IF('MMR-Page1'!$S$17="pH","",IF('MMR-Page1'!$S$17="Oxygen, dissolved [DO]","",IF('MMR-Page1'!$S$60="","",""))))))</f>
      </c>
      <c r="X10" s="233">
        <f>IF('MMR-Page1'!$V$15=TRUE,"",IF('MMR-Page1'!$S$17="","",IF('MMR-Page1'!$S$18="Loading","",IF('MMR-Page1'!$S$24="Report",'MMR-Page1'!$S$60,""))))</f>
      </c>
      <c r="Y10" s="235"/>
      <c r="Z10" s="233">
        <f>IF('MMR-Page1'!$V$15=TRUE,"",IF('MMR-Page1'!$S$17="","",IF('MMR-Page1'!$S$18="Conc",IF('MMR-Page1'!$S$25="-----","",IF('MMR-Page1'!$S$61&gt;0,"","9")),"")))</f>
      </c>
      <c r="AA10" s="234">
        <f>IF('MMR-Page1'!$V$15=TRUE,"",IF('MMR-Page1'!$S$17="","",IF('MMR-Page1'!$S$18="Loading","",IF('MMR-Page1'!$S$17="pH","&lt;",IF('MMR-Page1'!$S$61="","","")))))</f>
      </c>
      <c r="AB10" s="233">
        <f>IF('MMR-Page1'!$V$15=TRUE,"",IF('MMR-Page1'!$S$17="","",IF('MMR-Page1'!$S$18="Loading","",IF('MMR-Page1'!$S$25="Report",'MMR-Page1'!$S$61,""))))</f>
      </c>
      <c r="AC10" s="235"/>
      <c r="AD10" s="234">
        <f>IF('MMR-Page1'!$V$15=TRUE,"",IF('MMR-Page1'!$S$17="","",IF('MMR-Page1'!$S$18="Loading","",IF('MMR-Page1'!$R$28="MG/L","19",IF('MMR-Page1'!$R$28="Hi","12",IF('MMR-Page1'!$R$28="C / 100 ML","3Z","="))))))</f>
      </c>
      <c r="AE10" s="237"/>
      <c r="AF10" s="237">
        <f>IF('MMR-Page1'!$V$15=TRUE,"",IF('MMR-Page1'!$S$17="","",IF('MMR-Page1'!$S$21="Daily","01/01","")))</f>
      </c>
      <c r="AG10" s="237">
        <f>IF('MMR-Page1'!$V$15=TRUE,"",IF('MMR-Page1'!$S$17="","",IF('MMR-Page1'!$S$19="24 Hr total","TM",(IF('MMR-Page1'!$S$19="Grab","GR",(IF('MMR-Page1'!$S$19="Composite","CP","")))))))</f>
      </c>
      <c r="AH10" s="226">
        <f>IF('MMR-Page1'!$V$15=TRUE,"",IF('MMR-Page1'!$S$17="","",IF(AND('MMR-Page1'!$S$60="",'MMR-Page1'!$S$61="",'MMR-Page1'!$S$62=""),"9","")))</f>
      </c>
      <c r="AI10" s="250"/>
    </row>
    <row r="11" spans="1:35" s="156" customFormat="1" ht="15" customHeight="1">
      <c r="A11" s="238" t="str">
        <f>IF('MMR-Page1'!$V$15=TRUE,"#",IF('MMR-Page2'!$I$17="","#",CONCATENATE("IN",'MMR-Page1'!$C$13,'MMR-Page1'!$D$13,'MMR-Page1'!$E$13,'MMR-Page1'!$F$13,'MMR-Page1'!$G$13,'MMR-Page1'!$H$13,'MMR-Page1'!$I$13)))</f>
        <v>#</v>
      </c>
      <c r="B11" s="232">
        <f>IF('MMR-Page1'!$V$15=TRUE,"",IF('MMR-Page2'!$I$17="","",CONCATENATE('MMR-Page1'!$K$13,'MMR-Page1'!$L$13,'MMR-Page1'!$M$13)))</f>
      </c>
      <c r="C11" s="226">
        <f>IF('MMR-Page1'!$V$15=TRUE,"",IF('MMR-Page2'!$I$17="","",'MMR-Page1'!$N$13))</f>
      </c>
      <c r="D11" s="239">
        <f>IF('MMR-Page1'!$V$15=TRUE,"",IF('MMR-Page2'!$I$17="","",CONCATENATE("20",'MMR-Page1'!$R$13,'MMR-Page1'!$S$13,"-",'MMR-Page1'!$P$13,'MMR-Page1'!$Q$13,"-",instructions!$O$70)))</f>
      </c>
      <c r="E11" s="226">
        <f>IF('MMR-Page2'!$I$17="","",IF('MMR-Page1'!$V$15=TRUE,"",""))</f>
      </c>
      <c r="F11" s="226">
        <f>IF('MMR-Page1'!$V$15=TRUE,"",IF('MMR-Page2'!$I$17="","",'MMR-Page2'!$I$20))</f>
      </c>
      <c r="G11" s="226">
        <f>IF('MMR-Page1'!$V$15=TRUE,"",IF('MMR-Page2'!$I$17="","",'MMR-Page2'!$I$26))</f>
      </c>
      <c r="H11" s="226">
        <f>IF('MMR-Page1'!$V$15=TRUE,"",IF('MMR-Page2'!$I$17="","",'MMR-Page2'!$I$27))</f>
      </c>
      <c r="I11" s="233">
        <f>IF('MMR-Page1'!$V$15=TRUE,"",IF('MMR-Page2'!$I$17="","",IF('MMR-Page2'!$I$18="Conc","",IF('MMR-Page2'!$I$24="-----","",IF('MMR-Page2'!$I$61=" ","9","")))))</f>
      </c>
      <c r="J11" s="234">
        <f>IF('MMR-Page1'!$V$15=TRUE,"",IF('MMR-Page2'!$I$17="","",IF('MMR-Page2'!$I$18="Conc","",IF('MMR-Page2'!$I$28="","=",""))))</f>
      </c>
      <c r="K11" s="233">
        <f>IF('MMR-Page1'!$V$15=TRUE,"",IF('MMR-Page2'!$I$17="","",IF('MMR-Page2'!$I$18="Conc","",IF('MMR-Page2'!$I$24="Report",'MMR-Page2'!$I$60,""))))</f>
      </c>
      <c r="L11" s="235"/>
      <c r="M11" s="233">
        <f>IF('MMR-Page1'!$V$15=TRUE,"",IF('MMR-Page2'!$I$17="","",IF('MMR-Page2'!$I$18="Conc","",IF('MMR-Page2'!$I$25="-----","",IF('MMR-Page2'!$I$61="","9","")))))</f>
      </c>
      <c r="N11" s="234">
        <f>IF('MMR-Page1'!$V$15=TRUE,"",IF('MMR-Page2'!$I$17="","",IF('MMR-Page2'!$I$18="Conc","",IF('MMR-Page2'!$I$28=" ","=",""))))</f>
      </c>
      <c r="O11" s="233">
        <f>IF('MMR-Page1'!$V$15=TRUE,"",IF('MMR-Page2'!$I$17="","",IF('MMR-Page2'!$I$18="Conc","",IF('MMR-Page2'!$I$25="Report",'MMR-Page2'!$I$61,""))))</f>
      </c>
      <c r="P11" s="236"/>
      <c r="Q11" s="233">
        <f>IF('MMR-Page1'!$V$15=TRUE,"",IF('MMR-Page2'!$I$17="","",IF('MMR-Page2'!$I$18="Conc","",IF('MMR-Page2'!$I$28="MGD","03",IF('MMR-Page2'!$I$28="Lb","55",IF('MMR-Page2'!$I$28="def F","15",""))))))</f>
      </c>
      <c r="R11" s="233">
        <f>IF('MMR-Page1'!$V$15=TRUE,"",IF('MMR-Page2'!$I$17="","",IF('MMR-Page2'!$I$18="Conc",IF('MMR-Page2'!$I$23="-----","",IF('MMR-Page2'!$I$62&gt;0,"","9")),"")))</f>
      </c>
      <c r="S11" s="234">
        <f>IF('MMR-Page1'!$V$15=TRUE,"",IF('MMR-Page2'!$I$17="","",IF('MMR-Page2'!$I$18="Loading","",IF('MMR-Page1'!$I$61="","",IF('MMR-Page2'!$I$17="pH","&gt;",IF('MMR-Page2'!$I$17="Oxygen, dissolved [DO]","&gt;",""))))))</f>
      </c>
      <c r="T11" s="233">
        <f>IF('MMR-Page1'!$V$15=TRUE,"",IF('MMR-Page2'!$I$17="","",IF('MMR-Page2'!$I$18="Loading","",IF('MMR-Page2'!$I$23="Report",'MMR-Page2'!$I$62,""))))</f>
      </c>
      <c r="U11" s="235"/>
      <c r="V11" s="233">
        <f>IF('MMR-Page1'!$V$15=TRUE,"",IF('MMR-Page2'!$I$17="","",IF('MMR-Page2'!$I$18="Conc",IF('MMR-Page2'!$I$24="-----","",IF('MMR-Page2'!$I$60&gt;0,"","9")),"")))</f>
      </c>
      <c r="W11" s="234">
        <f>IF('MMR-Page1'!$V$15=TRUE,"",IF('MMR-Page2'!$I$17="","",IF('MMR-Page2'!$I$18="Loading","",IF('MMR-Page2'!$I$17="pH","",IF('MMR-Page2'!$I$17="Oxygen, dissolved [DO]","",IF('MMR-Page2'!$I$60="","",""))))))</f>
      </c>
      <c r="X11" s="233">
        <f>IF('MMR-Page1'!$V$15=TRUE,"",IF('MMR-Page2'!$I$17="","",IF('MMR-Page2'!$I$18="Loading","",IF('MMR-Page2'!$I$24="Report",'MMR-Page2'!$I$60,""))))</f>
      </c>
      <c r="Y11" s="235"/>
      <c r="Z11" s="233">
        <f>IF('MMR-Page1'!$V$15=TRUE,"",IF('MMR-Page2'!$I$17="","",IF('MMR-Page2'!$I$18="Conc",IF('MMR-Page2'!$I$25="-----","",IF('MMR-Page2'!$I$61&gt;0,"","9")),"")))</f>
      </c>
      <c r="AA11" s="234">
        <f>IF('MMR-Page1'!$V$15=TRUE,"",IF('MMR-Page2'!$I$17="","",IF('MMR-Page2'!$I$18="Loading","",IF('MMR-Page2'!$I$17="pH","&lt;",IF('MMR-Page2'!$I$61="","","")))))</f>
      </c>
      <c r="AB11" s="233">
        <f>IF('MMR-Page1'!$V$15=TRUE,"",IF('MMR-Page2'!$I$17="","",IF('MMR-Page2'!$I$18="Loading","",IF('MMR-Page2'!$I$25="Report",'MMR-Page2'!$I$61,""))))</f>
      </c>
      <c r="AC11" s="236"/>
      <c r="AD11" s="234">
        <f>IF('MMR-Page1'!$V$15=TRUE,"",IF('MMR-Page2'!$I$17="","",IF('MMR-Page2'!$I$18="Loading","",IF('MMR-Page2'!$I$28="MG/L","19",IF('MMR-Page2'!$I$28="SU","12",IF('MMR-Page2'!$I$28="C / 100 ML","3Z",""))))))</f>
      </c>
      <c r="AE11" s="237"/>
      <c r="AF11" s="237">
        <f>IF('MMR-Page1'!$V$15=TRUE,"",IF('MMR-Page2'!$I$17="","",IF('MMR-Page2'!$I$21="Daily","01/01","")))</f>
      </c>
      <c r="AG11" s="237">
        <f>IF('MMR-Page1'!$V$15=TRUE,"",IF('MMR-Page2'!$I$17="","",IF('MMR-Page2'!$I$19="24 Hr total","TM",(IF('MMR-Page2'!$I$19="Grab","GR",(IF('MMR-Page2'!$I$19="Composite","CP","")))))))</f>
      </c>
      <c r="AH11" s="226">
        <f>IF('MMR-Page1'!$V$15=TRUE,"",IF('MMR-Page2'!$I$17="","",IF(AND('MMR-Page2'!$I$60="",'MMR-Page2'!$I$61="",'MMR-Page2'!$I$62=""),"9","")))</f>
      </c>
      <c r="AI11" s="248"/>
    </row>
    <row r="12" spans="1:35" s="157" customFormat="1" ht="15" customHeight="1">
      <c r="A12" s="238" t="str">
        <f>IF('MMR-Page1'!$V$15=TRUE,"#",IF('MMR-Page2'!$K$17="","#",CONCATENATE("IN",'MMR-Page1'!$C$13,'MMR-Page1'!$D$13,'MMR-Page1'!$E$13,'MMR-Page1'!$F$13,'MMR-Page1'!$G$13,'MMR-Page1'!$H$13,'MMR-Page1'!$I$13)))</f>
        <v>#</v>
      </c>
      <c r="B12" s="232">
        <f>IF('MMR-Page1'!$V$15=TRUE,"",IF('MMR-Page2'!$K$17="","",CONCATENATE('MMR-Page1'!$K$13,'MMR-Page1'!$L$13,'MMR-Page1'!$M$13)))</f>
      </c>
      <c r="C12" s="226">
        <f>IF('MMR-Page1'!$V$15=TRUE,"",IF('MMR-Page2'!$K$17="","",'MMR-Page1'!$N$13))</f>
      </c>
      <c r="D12" s="239">
        <f>IF('MMR-Page1'!$V$15=TRUE,"",IF('MMR-Page2'!$K$17="","",CONCATENATE("20",'MMR-Page1'!$R$13,'MMR-Page1'!$S$13,"-",'MMR-Page1'!$P$13,'MMR-Page1'!$Q$13,"-",instructions!$O$70)))</f>
      </c>
      <c r="E12" s="226">
        <f>IF('MMR-Page2'!$K$17="","",IF('MMR-Page1'!$V$15=TRUE,"",""))</f>
      </c>
      <c r="F12" s="226">
        <f>IF('MMR-Page1'!$V$15=TRUE,"",IF('MMR-Page2'!$K$17="","",'MMR-Page2'!$K$20))</f>
      </c>
      <c r="G12" s="226">
        <f>IF('MMR-Page1'!$V$15=TRUE,"",IF('MMR-Page2'!$K$17="","",'MMR-Page2'!$K$26))</f>
      </c>
      <c r="H12" s="226">
        <f>IF('MMR-Page1'!$V$15=TRUE,"",IF('MMR-Page2'!$K$17="","",'MMR-Page2'!$K$27))</f>
      </c>
      <c r="I12" s="233">
        <f>IF('MMR-Page1'!$V$15=TRUE,"",IF('MMR-Page2'!$K$17="","",IF('MMR-Page2'!$K$18="Conc","",IF('MMR-Page2'!$K$24="-----","",IF('MMR-Page2'!$K$61=" ","9","")))))</f>
      </c>
      <c r="J12" s="234">
        <f>IF('MMR-Page1'!$V$15=TRUE,"",IF('MMR-Page2'!$K$17="","",IF('MMR-Page2'!$K$18="Conc","",IF('MMR-Page2'!$K$28="","=",""))))</f>
      </c>
      <c r="K12" s="233">
        <f>IF('MMR-Page1'!$V$15=TRUE,"",IF('MMR-Page2'!$K$17="","",IF('MMR-Page2'!$K$18="Conc","",IF('MMR-Page2'!$K$24="Report",'MMR-Page2'!$K$60,""))))</f>
      </c>
      <c r="L12" s="235"/>
      <c r="M12" s="233">
        <f>IF('MMR-Page1'!$V$15=TRUE,"",IF('MMR-Page2'!$K$17="","",IF('MMR-Page2'!$K$18="Conc","",IF('MMR-Page2'!$K$25="-----","",IF('MMR-Page2'!$K$61="","9","")))))</f>
      </c>
      <c r="N12" s="234">
        <f>IF('MMR-Page1'!$V$15=TRUE,"",IF('MMR-Page2'!$K$17="","",IF('MMR-Page2'!$K$18="Conc","",IF('MMR-Page2'!$K$28="","=",""))))</f>
      </c>
      <c r="O12" s="233">
        <f>IF('MMR-Page1'!$V$15=TRUE,"",IF('MMR-Page2'!$K$17="","",IF('MMR-Page2'!$K$18="Conc","",IF('MMR-Page2'!$K$25="Report",'MMR-Page2'!$K$61,""))))</f>
      </c>
      <c r="P12" s="235"/>
      <c r="Q12" s="233">
        <f>IF('MMR-Page1'!$V$15=TRUE,"",IF('MMR-Page2'!$K$17="","",IF('MMR-Page2'!$K$18="Conc","",IF('MMR-Page2'!$K$28="MGD","03",IF('MMR-Page2'!$K$28="Lb","55",IF('MMR-Page2'!$K$28="def F","15",""))))))</f>
      </c>
      <c r="R12" s="233">
        <f>IF('MMR-Page1'!$V$15=TRUE,"",IF('MMR-Page2'!$K$17="","",IF('MMR-Page2'!$K$18="Conc",IF('MMR-Page2'!$K$23="-----","",IF('MMR-Page2'!$K$62&gt;0,"","9")),"")))</f>
      </c>
      <c r="S12" s="234">
        <f>IF('MMR-Page1'!$V$15=TRUE,"",IF('MMR-Page2'!$K$17="","",IF('MMR-Page2'!$K$18="Loading","",IF('MMR-Page2'!$K$61="","",IF('MMR-Page2'!$K$17="pH","&gt;",IF('MMR-Page2'!$K$17="Oxygen, dissolved [DO]","&gt;",""))))))</f>
      </c>
      <c r="T12" s="233">
        <f>IF('MMR-Page1'!$V$15=TRUE,"",IF('MMR-Page2'!$K$17="","",IF('MMR-Page2'!$K$18="Loading","",IF('MMR-Page2'!$K$23="Report",'MMR-Page2'!$K$62,""))))</f>
      </c>
      <c r="U12" s="235"/>
      <c r="V12" s="233">
        <f>IF('MMR-Page1'!$V$15=TRUE,"",IF('MMR-Page2'!$K$17="","",IF('MMR-Page2'!$K$18="Conc",IF('MMR-Page2'!$K$24="-----","",IF('MMR-Page2'!$K$60&gt;0,"","9")),"")))</f>
      </c>
      <c r="W12" s="234">
        <f>IF('MMR-Page1'!$V$15=TRUE,"",IF('MMR-Page2'!$K$17="","",IF('MMR-Page2'!$K$18="Loading","",IF('MMR-Page2'!$K$17="pH","",IF('MMR-Page2'!$K$17="Oxygen, dissolved [DO]","",IF('MMR-Page2'!$K$60="","",""))))))</f>
      </c>
      <c r="X12" s="233">
        <f>IF('MMR-Page1'!$V$15=TRUE,"",IF('MMR-Page2'!$K$17="","",IF('MMR-Page2'!$K$18="Loading","",IF('MMR-Page2'!$K$24="Report",'MMR-Page2'!$K$60,""))))</f>
      </c>
      <c r="Y12" s="235"/>
      <c r="Z12" s="233">
        <f>IF('MMR-Page1'!$V$15=TRUE,"",IF('MMR-Page2'!$K$17="","",IF('MMR-Page2'!$K$18="Conc",IF('MMR-Page2'!$K$25="-----","",IF('MMR-Page2'!$K$61&gt;0,"","9")),"")))</f>
      </c>
      <c r="AA12" s="234">
        <f>IF('MMR-Page1'!$V$15=TRUE,"",IF('MMR-Page2'!$K$17="","",IF('MMR-Page2'!$K$18="Loading","",IF('MMR-Page2'!$K$17="pH","&lt;",IF('MMR-Page2'!$K$61="","","")))))</f>
      </c>
      <c r="AB12" s="233">
        <f>IF('MMR-Page1'!$V$15=TRUE,"",IF('MMR-Page2'!$K$17="","",IF('MMR-Page2'!$K$18="Loading","",IF('MMR-Page2'!$K$25="Report",'MMR-Page2'!$K$61,""))))</f>
      </c>
      <c r="AC12" s="235"/>
      <c r="AD12" s="234">
        <f>IF('MMR-Page1'!$V$15=TRUE,"",IF('MMR-Page2'!$K$17="","",IF('MMR-Page2'!$K$18="Loading","",IF('MMR-Page2'!$K$28="MG/L","19",IF('MMR-Page2'!$K$28="SU","12",IF('MMR-Page2'!$K$28="C / 100 ML","3Z",""))))))</f>
      </c>
      <c r="AE12" s="237"/>
      <c r="AF12" s="237">
        <f>IF('MMR-Page1'!$V$15=TRUE,"",IF('MMR-Page2'!$K$17="","",IF('MMR-Page2'!$K$21="Daily","01/01","")))</f>
      </c>
      <c r="AG12" s="237">
        <f>IF('MMR-Page1'!$V$15=TRUE,"",IF('MMR-Page2'!$K$17="","",IF('MMR-Page2'!$K$19="24 Hr total","TM",(IF('MMR-Page2'!$K$19="Grab","GR",(IF('MMR-Page2'!$K$19="Composite","CP","")))))))</f>
      </c>
      <c r="AH12" s="226">
        <f>IF('MMR-Page1'!$V$15=TRUE,"",IF('MMR-Page2'!$K$17="","",IF(AND('MMR-Page2'!$K$60="",'MMR-Page2'!$K$61="",'MMR-Page2'!$K$62=""),"9","")))</f>
      </c>
      <c r="AI12" s="249"/>
    </row>
    <row r="13" spans="1:35" s="156" customFormat="1" ht="15" customHeight="1">
      <c r="A13" s="238" t="str">
        <f>IF('MMR-Page1'!$V$15=TRUE,"#",IF('MMR-Page2'!$M$17="","#",CONCATENATE("IN",'MMR-Page1'!$C$13,'MMR-Page1'!$D$13,'MMR-Page1'!$E$13,'MMR-Page1'!$F$13,'MMR-Page1'!$G$13,'MMR-Page1'!$H$13,'MMR-Page1'!$I$13)))</f>
        <v>#</v>
      </c>
      <c r="B13" s="232">
        <f>IF('MMR-Page1'!$V$15=TRUE,"",IF('MMR-Page2'!$M$17="","",CONCATENATE('MMR-Page1'!$K$13,'MMR-Page1'!$L$13,'MMR-Page1'!$M$13)))</f>
      </c>
      <c r="C13" s="226">
        <f>IF('MMR-Page1'!$V$15=TRUE,"",IF('MMR-Page2'!$M$17="","",'MMR-Page1'!$N$13))</f>
      </c>
      <c r="D13" s="239">
        <f>IF('MMR-Page1'!$V$15=TRUE,"",IF('MMR-Page2'!$M$17="","",CONCATENATE("20",'MMR-Page1'!$R$13,'MMR-Page1'!$S$13,"-",'MMR-Page1'!$P$13,'MMR-Page1'!$Q$13,"-",instructions!$O$70)))</f>
      </c>
      <c r="E13" s="226">
        <f>IF('MMR-Page1'!$V$15=TRUE,"",IF('MMR-Page2'!$M$17="","",IF('MMR-Page1'!$V$15=TRUE,"C","")))</f>
      </c>
      <c r="F13" s="226">
        <f>IF('MMR-Page1'!$V$15=TRUE,"",IF('MMR-Page2'!$M$17="","",'MMR-Page2'!$M$20))</f>
      </c>
      <c r="G13" s="226">
        <f>IF('MMR-Page1'!$V$15=TRUE,"",IF('MMR-Page2'!$M$17="","",'MMR-Page2'!$M$26))</f>
      </c>
      <c r="H13" s="226">
        <f>IF('MMR-Page1'!$V$15=TRUE,"",IF('MMR-Page2'!$M$17="","",'MMR-Page2'!$M$27))</f>
      </c>
      <c r="I13" s="233">
        <f>IF('MMR-Page1'!$V$15=TRUE,"",IF('MMR-Page2'!$M$17="","",IF('MMR-Page2'!$M$18="Conc","",IF('MMR-Page2'!$M$24="-----","",IF('MMR-Page2'!$M$61=" ","9","")))))</f>
      </c>
      <c r="J13" s="234">
        <f>IF('MMR-Page1'!$V$15=TRUE,"",IF('MMR-Page2'!$M$17="","",IF('MMR-Page2'!$M$18="Conc","",IF('MMR-Page2'!$M$28="","=",""))))</f>
      </c>
      <c r="K13" s="233">
        <f>IF('MMR-Page1'!$V$15=TRUE,"",IF('MMR-Page2'!$M$17="","",IF('MMR-Page2'!$M$18="Conc","",IF('MMR-Page2'!$M$24="Report",'MMR-Page2'!$M$60,""))))</f>
      </c>
      <c r="L13" s="235"/>
      <c r="M13" s="233">
        <f>IF('MMR-Page1'!$V$15=TRUE,"",IF('MMR-Page2'!$M$17="","",IF('MMR-Page2'!$M$18="Conc","",IF('MMR-Page2'!$M$25="-----","",IF('MMR-Page2'!$M$61="","9","")))))</f>
      </c>
      <c r="N13" s="234">
        <f>IF('MMR-Page1'!$V$15=TRUE,"",IF('MMR-Page2'!$M$17="","",IF('MMR-Page2'!$M$18="Conc","",IF('MMR-Page2'!$M$28="","=",""))))</f>
      </c>
      <c r="O13" s="233">
        <f>IF('MMR-Page1'!$V$15=TRUE,"",IF('MMR-Page2'!$M$17="","",IF('MMR-Page2'!$M$18="Conc","",IF('MMR-Page2'!$M$25="Report",'MMR-Page2'!$M$61,""))))</f>
      </c>
      <c r="P13" s="236"/>
      <c r="Q13" s="233">
        <f>IF('MMR-Page1'!$V$15=TRUE,"",IF('MMR-Page2'!$M$17="","",IF('MMR-Page2'!$M$18="Conc","",IF('MMR-Page2'!$M$28="MGD","03",IF('MMR-Page2'!$M$28="Lb","55",IF('MMR-Page2'!$M$28="def F","15",""))))))</f>
      </c>
      <c r="R13" s="233">
        <f>IF('MMR-Page1'!$V$15=TRUE,"",IF('MMR-Page2'!$M$17="","",IF('MMR-Page2'!$M$18="Conc",IF('MMR-Page2'!$M$23="-----","",IF('MMR-Page2'!$M$62&gt;0,"","9")),"")))</f>
      </c>
      <c r="S13" s="234">
        <f>IF('MMR-Page1'!$V$15=TRUE,"",IF('MMR-Page2'!$M$17="","",IF('MMR-Page2'!$M$18="Loading","",IF('MMR-Page2'!$M$61="","",IF('MMR-Page2'!$M$17="pH","&gt;",IF('MMR-Page2'!$M$17="Oxygen, dissolved [DO]","&gt;",""))))))</f>
      </c>
      <c r="T13" s="233">
        <f>IF('MMR-Page1'!$V$15=TRUE,"",IF('MMR-Page2'!$M$17="","",IF('MMR-Page2'!$M$18="Loading","",IF('MMR-Page2'!$M$23="Report",'MMR-Page2'!$M$62,""))))</f>
      </c>
      <c r="U13" s="235"/>
      <c r="V13" s="233">
        <f>IF('MMR-Page1'!$V$15=TRUE,"",IF('MMR-Page2'!$M$17="","",IF('MMR-Page2'!$M$18="Conc",IF('MMR-Page2'!$M$24="-----","",IF('MMR-Page2'!$M$60&gt;0,"","9")),"")))</f>
      </c>
      <c r="W13" s="234">
        <f>IF('MMR-Page1'!$V$15=TRUE,"",IF('MMR-Page2'!$M$17="","",IF('MMR-Page2'!$M$18="Loading","",IF('MMR-Page2'!$M$17="pH","",IF('MMR-Page2'!$M$17="Oxygen, dissolved [DO]","",IF('MMR-Page2'!$M$60="","",""))))))</f>
      </c>
      <c r="X13" s="233">
        <f>IF('MMR-Page1'!$V$15=TRUE,"",IF('MMR-Page2'!$M$17="","",IF('MMR-Page2'!$M$18="Loading","",IF('MMR-Page2'!$M$24="Report",'MMR-Page2'!$M$60,""))))</f>
      </c>
      <c r="Y13" s="235"/>
      <c r="Z13" s="233">
        <f>IF('MMR-Page1'!$V$15=TRUE,"",IF('MMR-Page2'!$M$17="","",IF('MMR-Page2'!$M$18="Conc",IF('MMR-Page2'!$M$25="-----","",IF('MMR-Page2'!$M$61&gt;0,"","9")),"")))</f>
      </c>
      <c r="AA13" s="234">
        <f>IF('MMR-Page1'!$V$15=TRUE,"",IF('MMR-Page2'!$M$17="","",IF('MMR-Page2'!$M$18="Loading","",IF('MMR-Page2'!$M$17="pH","&lt;",IF('MMR-Page2'!$M$61="","","")))))</f>
      </c>
      <c r="AB13" s="233">
        <f>IF('MMR-Page1'!$V$15=TRUE,"",IF('MMR-Page2'!$M$17="","",IF('MMR-Page2'!$M$18="Loading","",IF('MMR-Page2'!$M$25="Report",'MMR-Page2'!$M$61,""))))</f>
      </c>
      <c r="AC13" s="236"/>
      <c r="AD13" s="234">
        <f>IF('MMR-Page1'!$V$15=TRUE,"",IF('MMR-Page2'!$M$17="","",IF('MMR-Page2'!$M$18="Loading","",IF('MMR-Page2'!$M$28="MG/L","19",IF('MMR-Page2'!$M$28="Hi","12",IF('MMR-Page2'!$M$28="C / 100 ML","3Z",""))))))</f>
      </c>
      <c r="AE13" s="237"/>
      <c r="AF13" s="237">
        <f>IF('MMR-Page1'!$V$15=TRUE,"",IF('MMR-Page2'!$M$17="","",IF('MMR-Page2'!$M$21="Daily","01/01","")))</f>
      </c>
      <c r="AG13" s="237">
        <f>IF('MMR-Page1'!$V$15=TRUE,"",IF('MMR-Page2'!$M$17="","",IF('MMR-Page2'!$M$19="24 Hr total","TM",(IF('MMR-Page2'!$M$19="Grab","GR",(IF('MMR-Page2'!$M$19="Composite","CP","")))))))</f>
      </c>
      <c r="AH13" s="226">
        <f>IF('MMR-Page1'!$V$15=TRUE,"",IF('MMR-Page2'!$M$17="","",IF(AND('MMR-Page2'!$M$60="",'MMR-Page2'!$M$61="",'MMR-Page2'!$M$62=""),"9","")))</f>
      </c>
      <c r="AI13" s="248"/>
    </row>
    <row r="14" spans="1:35" s="158" customFormat="1" ht="15" customHeight="1">
      <c r="A14" s="238" t="str">
        <f>IF('MMR-Page1'!$V$15=TRUE,"#",IF('MMR-Page2'!$O$17="","#",CONCATENATE("IN",'MMR-Page1'!$C$13,'MMR-Page1'!$D$13,'MMR-Page1'!$E$13,'MMR-Page1'!$F$13,'MMR-Page1'!$G$13,'MMR-Page1'!$H$13,'MMR-Page1'!$I$13)))</f>
        <v>#</v>
      </c>
      <c r="B14" s="232">
        <f>IF('MMR-Page1'!$V$15=TRUE,"",IF('MMR-Page2'!$O$17="","",CONCATENATE('MMR-Page1'!$K$13,'MMR-Page1'!$L$13,'MMR-Page1'!$M$13)))</f>
      </c>
      <c r="C14" s="226">
        <f>IF('MMR-Page1'!$V$15=TRUE,"",IF('MMR-Page2'!$O$17="","",'MMR-Page1'!$N$13))</f>
      </c>
      <c r="D14" s="239">
        <f>IF('MMR-Page1'!$V$15=TRUE,"",IF('MMR-Page2'!$O$17="","",CONCATENATE("20",'MMR-Page1'!$R$13,'MMR-Page1'!$S$13,"-",'MMR-Page1'!$P$13,'MMR-Page1'!$Q$13,"-",instructions!$O$70)))</f>
      </c>
      <c r="E14" s="226">
        <f>IF('MMR-Page1'!$V$15=TRUE,"",IF('MMR-Page2'!$O$17="","",IF('MMR-Page1'!$V$15=TRUE,"C","")))</f>
      </c>
      <c r="F14" s="226">
        <f>IF('MMR-Page1'!$V$15=TRUE,"",IF('MMR-Page2'!$O$17="","",'MMR-Page2'!$O$20))</f>
      </c>
      <c r="G14" s="226">
        <f>IF('MMR-Page1'!$V$15=TRUE,"",IF('MMR-Page2'!$O$17="","",'MMR-Page2'!$O$26))</f>
      </c>
      <c r="H14" s="226">
        <f>IF('MMR-Page1'!$V$15=TRUE,"",IF('MMR-Page2'!$O$17="","",'MMR-Page2'!$O$27))</f>
      </c>
      <c r="I14" s="233">
        <f>IF('MMR-Page1'!$V$15=TRUE,"",IF('MMR-Page2'!$O$17="","",IF('MMR-Page2'!$O$18="Conc","",IF('MMR-Page2'!$O$24="-----","",IF('MMR-Page2'!$O$61=" ","9","")))))</f>
      </c>
      <c r="J14" s="234">
        <f>IF('MMR-Page1'!$V$15=TRUE,"",IF('MMR-Page2'!$O$17="","",IF('MMR-Page2'!$O$18="Conc","",IF('MMR-Page2'!$O$28="","=",""))))</f>
      </c>
      <c r="K14" s="233">
        <f>IF('MMR-Page1'!$V$15=TRUE,"",IF('MMR-Page2'!$O$17="","",IF('MMR-Page2'!$O$18="Conc","",IF('MMR-Page2'!$O$24="Report",'MMR-Page2'!$O$60,""))))</f>
      </c>
      <c r="L14" s="235"/>
      <c r="M14" s="233">
        <f>IF('MMR-Page1'!$V$15=TRUE,"",IF('MMR-Page2'!$O$17="","",IF('MMR-Page2'!$O$18="Conc","",IF('MMR-Page2'!$O$25="-----","",IF('MMR-Page2'!$O$61="","9","")))))</f>
      </c>
      <c r="N14" s="234">
        <f>IF('MMR-Page1'!$V$15=TRUE,"",IF('MMR-Page2'!$O$17="","",IF('MMR-Page2'!$O$18="Conc","",IF('MMR-Page2'!$O$28="","=",""))))</f>
      </c>
      <c r="O14" s="233">
        <f>IF('MMR-Page1'!$V$15=TRUE,"",IF('MMR-Page2'!$O$17="","",IF('MMR-Page2'!$O$18="Conc","",IF('MMR-Page2'!$O$25="Report",'MMR-Page2'!$O$61,""))))</f>
      </c>
      <c r="P14" s="235"/>
      <c r="Q14" s="233">
        <f>IF('MMR-Page1'!$V$15=TRUE,"",IF('MMR-Page2'!$O$17="","",IF('MMR-Page2'!$O$18="Conc","",IF('MMR-Page2'!$O$28="MGD","03",IF('MMR-Page2'!$O$28="Lb","55",IF('MMR-Page2'!$O$28="def F","15",""))))))</f>
      </c>
      <c r="R14" s="233">
        <f>IF('MMR-Page1'!$V$15=TRUE,"",IF('MMR-Page2'!$O$17="","",IF('MMR-Page2'!$O$18="Conc",IF('MMR-Page2'!$O$23="-----","",IF('MMR-Page2'!$O$62&gt;0,"","9")),"")))</f>
      </c>
      <c r="S14" s="234">
        <f>IF('MMR-Page1'!$V$15=TRUE,"",IF('MMR-Page2'!$O$17="","",IF('MMR-Page2'!$O$18="Loading","",IF('MMR-Page2'!$O$61="","",IF('MMR-Page2'!$O$17="pH","&gt;",IF('MMR-Page2'!$O$17="Oxygen, dissolved [DO]","&gt;",""))))))</f>
      </c>
      <c r="T14" s="233">
        <f>IF('MMR-Page1'!$V$15=TRUE,"",IF('MMR-Page2'!$O$17="","",IF('MMR-Page2'!$O$18="Loading","",IF('MMR-Page2'!$O$23="Report",'MMR-Page2'!$O$62,""))))</f>
      </c>
      <c r="U14" s="235"/>
      <c r="V14" s="233">
        <f>IF('MMR-Page1'!$V$15=TRUE,"",IF('MMR-Page2'!$O$17="","",IF('MMR-Page2'!$O$18="Conc",IF('MMR-Page2'!$O$24="-----","",IF('MMR-Page2'!$O$60&gt;0,"","9")),"")))</f>
      </c>
      <c r="W14" s="234">
        <f>IF('MMR-Page1'!$V$15=TRUE,"",IF('MMR-Page2'!$O$17="","",IF('MMR-Page2'!$O$18="Loading","",IF('MMR-Page2'!$O$17="pH","",IF('MMR-Page2'!$O$17="Oxygen, dissolved [DO]","",IF('MMR-Page2'!$O$60="","",""))))))</f>
      </c>
      <c r="X14" s="233">
        <f>IF('MMR-Page1'!$V$15=TRUE,"",IF('MMR-Page2'!$O$17="","",IF('MMR-Page2'!$O$18="Loading","",IF('MMR-Page2'!$O$24="Report",'MMR-Page2'!$O$60,""))))</f>
      </c>
      <c r="Y14" s="235"/>
      <c r="Z14" s="233">
        <f>IF('MMR-Page1'!$V$15=TRUE,"",IF('MMR-Page2'!$O$17="","",IF('MMR-Page2'!$O$18="Conc",IF('MMR-Page2'!$O$25="-----","",IF('MMR-Page2'!$O$61&gt;0,"","9")),"")))</f>
      </c>
      <c r="AA14" s="234">
        <f>IF('MMR-Page1'!$V$15=TRUE,"",IF('MMR-Page2'!$O$17="","",IF('MMR-Page2'!$O$18="Loading","",IF('MMR-Page2'!$O$17="pH","&lt;",IF('MMR-Page2'!$O$61="","","")))))</f>
      </c>
      <c r="AB14" s="233">
        <f>IF('MMR-Page1'!$V$15=TRUE,"",IF('MMR-Page2'!$O$17="","",IF('MMR-Page2'!$O$18="Loading","",IF('MMR-Page2'!$O$25="Report",'MMR-Page2'!$O$61,""))))</f>
      </c>
      <c r="AC14" s="235"/>
      <c r="AD14" s="234">
        <f>IF('MMR-Page1'!$V$15=TRUE,"",IF('MMR-Page2'!$O$17="","",IF('MMR-Page2'!$O$18="Loading","",IF('MMR-Page2'!$P$28="MG/L","19",IF('MMR-Page2'!$P$28="Hi","12",IF('MMR-Page2'!$P$28="C / 100 ML","3Z",""))))))</f>
      </c>
      <c r="AE14" s="237"/>
      <c r="AF14" s="237">
        <f>IF('MMR-Page1'!$V$15=TRUE,"",IF('MMR-Page2'!$O$17="","",IF('MMR-Page2'!$O$21="Daily","01/01","")))</f>
      </c>
      <c r="AG14" s="237">
        <f>IF('MMR-Page1'!$V$15=TRUE,"",IF('MMR-Page2'!$O$17="","",IF('MMR-Page2'!$O$19="24 Hr total","TM",(IF('MMR-Page2'!$O$19="Grab","GR",(IF('MMR-Page2'!$O$19="Composite","CP","")))))))</f>
      </c>
      <c r="AH14" s="226">
        <f>IF('MMR-Page1'!$V$15=TRUE,"",IF('MMR-Page2'!$O$17="","",IF(AND('MMR-Page2'!$O$60="",'MMR-Page2'!$O$61="",'MMR-Page2'!$O$62=""),"9","")))</f>
      </c>
      <c r="AI14" s="250"/>
    </row>
    <row r="15" spans="1:35" s="158" customFormat="1" ht="15" customHeight="1">
      <c r="A15" s="238" t="str">
        <f>IF('MMR-Page1'!$V$15=TRUE,"#",IF('MMR-Page2'!$Q$17="","#",CONCATENATE("IN",'MMR-Page1'!$C$13,'MMR-Page1'!$D$13,'MMR-Page1'!$E$13,'MMR-Page1'!$F$13,'MMR-Page1'!$G$13,'MMR-Page1'!$H$13,'MMR-Page1'!$I$13)))</f>
        <v>#</v>
      </c>
      <c r="B15" s="232">
        <f>IF('MMR-Page1'!$V$15=TRUE,"",IF('MMR-Page2'!$Q$17="","",CONCATENATE('MMR-Page1'!$K$13,'MMR-Page1'!$L$13,'MMR-Page1'!$M$13)))</f>
      </c>
      <c r="C15" s="226">
        <f>IF('MMR-Page1'!$V$15=TRUE,"",IF('MMR-Page2'!$Q$17="","",'MMR-Page1'!$N$13))</f>
      </c>
      <c r="D15" s="239">
        <f>IF('MMR-Page1'!$V$15=TRUE,"",IF('MMR-Page2'!$Q$17="","",CONCATENATE("20",'MMR-Page1'!$R$13,'MMR-Page1'!$S$13,"-",'MMR-Page1'!$P$13,'MMR-Page1'!$Q$13,"-",instructions!$O$70)))</f>
      </c>
      <c r="E15" s="226">
        <f>IF('MMR-Page1'!$V$15=TRUE,"",IF('MMR-Page2'!$Q$17="","",IF('MMR-Page1'!$V$15=TRUE,"C","")))</f>
      </c>
      <c r="F15" s="226">
        <f>IF('MMR-Page1'!$V$15=TRUE,"",IF('MMR-Page2'!$Q$17="","",'MMR-Page2'!$Q$20))</f>
      </c>
      <c r="G15" s="226">
        <f>IF('MMR-Page1'!$V$15=TRUE,"",IF('MMR-Page2'!$Q$17="","",'MMR-Page2'!$Q$26))</f>
      </c>
      <c r="H15" s="226">
        <f>IF('MMR-Page1'!$V$15=TRUE,"",IF('MMR-Page2'!$Q$17="","",'MMR-Page2'!$Q$27))</f>
      </c>
      <c r="I15" s="233">
        <f>IF('MMR-Page1'!$V$15=TRUE,"",IF('MMR-Page2'!$Q$17="","",IF('MMR-Page2'!$Q$18="Conc","",IF('MMR-Page2'!$Q$24="-----","",IF('MMR-Page2'!$Q$61=" ","9","")))))</f>
      </c>
      <c r="J15" s="234">
        <f>IF('MMR-Page1'!$V$15=TRUE,"",IF('MMR-Page2'!$Q$17="","",IF('MMR-Page2'!$Q$18="Conc","",IF('MMR-Page2'!$Q$28="","=",""))))</f>
      </c>
      <c r="K15" s="233">
        <f>IF('MMR-Page1'!$V$15=TRUE,"",IF('MMR-Page2'!$Q$17="","",IF('MMR-Page2'!$Q$18="Conc","",IF('MMR-Page2'!$Q$24="Report",'MMR-Page2'!$Q$60,""))))</f>
      </c>
      <c r="L15" s="235"/>
      <c r="M15" s="233">
        <f>IF('MMR-Page1'!$V$15=TRUE,"",IF('MMR-Page2'!$Q$17="","",IF('MMR-Page2'!$Q$18="Conc","",IF('MMR-Page2'!$Q$25="-----","",IF('MMR-Page2'!$Q$61="","9","")))))</f>
      </c>
      <c r="N15" s="234">
        <f>IF('MMR-Page1'!$V$15=TRUE,"",IF('MMR-Page2'!$Q$17="","",IF('MMR-Page2'!$Q$18="Conc","",IF('MMR-Page2'!$Q$28="","=",""))))</f>
      </c>
      <c r="O15" s="233">
        <f>IF('MMR-Page1'!$V$15=TRUE,"",IF('MMR-Page2'!$Q$17="","",IF('MMR-Page2'!$Q$18="Conc","",IF('MMR-Page2'!$Q$25="Report",'MMR-Page2'!$Q$61,""))))</f>
      </c>
      <c r="P15" s="235"/>
      <c r="Q15" s="233">
        <f>IF('MMR-Page1'!$V$15=TRUE,"",IF('MMR-Page2'!$Q$17="","",IF('MMR-Page2'!$Q$18="Conc","",IF('MMR-Page2'!$Q$28="MGD","03",IF('MMR-Page2'!$Q$28="Lb","55",IF('MMR-Page2'!$Q$28="def F","15",""))))))</f>
      </c>
      <c r="R15" s="233">
        <f>IF('MMR-Page1'!$V$15=TRUE,"",IF('MMR-Page2'!$Q$17="","",IF('MMR-Page2'!$Q$18="Conc",IF('MMR-Page2'!$Q$23="-----","",IF('MMR-Page2'!$Q$62&gt;0,"","9")),"")))</f>
      </c>
      <c r="S15" s="234">
        <f>IF('MMR-Page1'!$V$15=TRUE,"",IF('MMR-Page2'!$Q$17="","",IF('MMR-Page2'!$Q$18="Loading","",IF('MMR-Page2'!$Q$61="","",IF('MMR-Page2'!$Q$17="pH","&gt;",IF('MMR-Page2'!$Q$17="Oxygen, dissolved [DO]","&gt;",""))))))</f>
      </c>
      <c r="T15" s="233">
        <f>IF('MMR-Page1'!$V$15=TRUE,"",IF('MMR-Page2'!$Q$17="","",IF('MMR-Page2'!$Q$18="Loading","",IF('MMR-Page2'!$Q$23="Report",'MMR-Page2'!$Q$62,""))))</f>
      </c>
      <c r="U15" s="235"/>
      <c r="V15" s="233">
        <f>IF('MMR-Page1'!$V$15=TRUE,"",IF('MMR-Page2'!$Q$17="","",IF('MMR-Page2'!$Q$18="Conc",IF('MMR-Page2'!$Q$24="-----","",IF('MMR-Page2'!$Q$60&gt;0,"","9")),"")))</f>
      </c>
      <c r="W15" s="234">
        <f>IF('MMR-Page1'!$V$15=TRUE,"",IF('MMR-Page2'!$Q$17="","",IF('MMR-Page2'!$Q$18="Loading","",IF('MMR-Page2'!$Q$17="pH","",IF('MMR-Page2'!$Q$17="Oxygen, dissolved [DO]","",IF('MMR-Page2'!$Q$60="","",""))))))</f>
      </c>
      <c r="X15" s="233">
        <f>IF('MMR-Page1'!$V$15=TRUE,"",IF('MMR-Page2'!$Q$17="","",IF('MMR-Page2'!$Q$18="Loading","",IF('MMR-Page2'!$Q$24="Report",'MMR-Page2'!$Q$60,""))))</f>
      </c>
      <c r="Y15" s="235"/>
      <c r="Z15" s="233">
        <f>IF('MMR-Page1'!$V$15=TRUE,"",IF('MMR-Page2'!$Q$17="","",IF('MMR-Page2'!$Q$18="Conc",IF('MMR-Page2'!$Q$25="-----","",IF('MMR-Page2'!$Q$61&gt;0,"","9")),"")))</f>
      </c>
      <c r="AA15" s="234">
        <f>IF('MMR-Page1'!$V$15=TRUE,"",IF('MMR-Page2'!$Q$17="","",IF('MMR-Page2'!$Q$18="Loading","",IF('MMR-Page2'!$Q$17="pH","&lt;",IF('MMR-Page2'!$Q$61="","","")))))</f>
      </c>
      <c r="AB15" s="233">
        <f>IF('MMR-Page1'!$V$15=TRUE,"",IF('MMR-Page2'!$Q$17="","",IF('MMR-Page2'!$Q$18="Loading","",IF('MMR-Page2'!$Q$25="Report",'MMR-Page2'!$Q$61,""))))</f>
      </c>
      <c r="AC15" s="235"/>
      <c r="AD15" s="234">
        <f>IF('MMR-Page1'!$V$15=TRUE,"",IF('MMR-Page2'!$Q$17="","",IF('MMR-Page2'!$Q$18="Loading","",IF('MMR-Page2'!$R$28="MG/L","19",IF('MMR-Page2'!$R$28="Hi","12",IF('MMR-Page2'!$R$28="C / 100 ML","3Z",""))))))</f>
      </c>
      <c r="AE15" s="237"/>
      <c r="AF15" s="237">
        <f>IF('MMR-Page1'!$V$15=TRUE,"",IF('MMR-Page2'!$Q$17="","",IF('MMR-Page2'!$Q$21="Daily","01/01","")))</f>
      </c>
      <c r="AG15" s="237">
        <f>IF('MMR-Page1'!$V$15=TRUE,"",IF('MMR-Page2'!$Q$17="","",IF('MMR-Page2'!$Q$19="24 Hr total","TM",(IF('MMR-Page2'!$Q$19="Grab","GR",(IF('MMR-Page2'!$Q$19="Composite","CP","")))))))</f>
      </c>
      <c r="AH15" s="226">
        <f>IF('MMR-Page1'!$V$15=TRUE,"",IF('MMR-Page2'!$Q$17="","",IF(AND('MMR-Page2'!$Q$60="",'MMR-Page2'!$Q$61="",'MMR-Page2'!$Q$62=""),"9","")))</f>
      </c>
      <c r="AI15" s="250"/>
    </row>
    <row r="16" spans="1:35" s="158" customFormat="1" ht="15" customHeight="1">
      <c r="A16" s="238" t="str">
        <f>IF('MMR-Page1'!$V$15=TRUE,"#",IF('MMR-Page2'!$S$17="","#",CONCATENATE("IN",'MMR-Page1'!$C$13,'MMR-Page1'!$D$13,'MMR-Page1'!$E$13,'MMR-Page1'!$F$13,'MMR-Page1'!$G$13,'MMR-Page1'!$H$13,'MMR-Page1'!$I$13)))</f>
        <v>#</v>
      </c>
      <c r="B16" s="232">
        <f>IF('MMR-Page1'!$V$15=TRUE,"",IF('MMR-Page2'!$S$17="","",CONCATENATE('MMR-Page1'!$K$13,'MMR-Page1'!$L$13,'MMR-Page1'!$M$13)))</f>
      </c>
      <c r="C16" s="226">
        <f>IF('MMR-Page1'!$V$15=TRUE,"",IF('MMR-Page2'!$S$17="","",'MMR-Page1'!$N$13))</f>
      </c>
      <c r="D16" s="239">
        <f>IF('MMR-Page1'!$V$15=TRUE,"",IF('MMR-Page2'!$S$17="","",CONCATENATE("20",'MMR-Page1'!$R$13,'MMR-Page1'!$S$13,"-",'MMR-Page1'!$P$13,'MMR-Page1'!$Q$13,"-",instructions!$O$70)))</f>
      </c>
      <c r="E16" s="226">
        <f>IF('MMR-Page1'!$V$15=TRUE,"",IF('MMR-Page2'!$S$17="","",IF('MMR-Page1'!$V$15=TRUE,"C","")))</f>
      </c>
      <c r="F16" s="226">
        <f>IF('MMR-Page1'!$V$15=TRUE,"",IF('MMR-Page2'!$S$17="","",'MMR-Page2'!$S$20))</f>
      </c>
      <c r="G16" s="226">
        <f>IF('MMR-Page1'!$V$15=TRUE,"",IF('MMR-Page2'!$S$17="","",'MMR-Page2'!$S$26))</f>
      </c>
      <c r="H16" s="226">
        <f>IF('MMR-Page1'!$V$15=TRUE,"",IF('MMR-Page2'!$S$17="","",'MMR-Page2'!$S$27))</f>
      </c>
      <c r="I16" s="233">
        <f>IF('MMR-Page1'!$V$15=TRUE,"",IF('MMR-Page2'!$S$17="","",IF('MMR-Page2'!$S$18="Conc","",IF('MMR-Page2'!$S$24="-----","",IF('MMR-Page2'!$S$61="","9","")))))</f>
      </c>
      <c r="J16" s="234">
        <f>IF('MMR-Page1'!$V$15=TRUE,"",IF('MMR-Page2'!$S$17="","",IF('MMR-Page2'!$S$18="Conc","",IF('MMR-Page2'!$S$28="","=",""))))</f>
      </c>
      <c r="K16" s="233">
        <f>IF('MMR-Page1'!$V$15=TRUE,"",IF('MMR-Page2'!$S$17="","",IF('MMR-Page2'!$S$18="Conc","",IF('MMR-Page2'!$S$24="Report",'MMR-Page2'!$S$60,""))))</f>
      </c>
      <c r="L16" s="235"/>
      <c r="M16" s="233">
        <f>IF('MMR-Page1'!$V$15=TRUE,"",IF('MMR-Page2'!$S$17="","",IF('MMR-Page2'!$S$18="Conc","",IF('MMR-Page2'!$S$25="-----","",IF('MMR-Page2'!$S$61=" ","9","")))))</f>
      </c>
      <c r="N16" s="234">
        <f>IF('MMR-Page1'!$V$15=TRUE,"",IF('MMR-Page2'!$S$17="","",IF('MMR-Page2'!$S$18="Conc","",IF('MMR-Page2'!$S$28="","=",""))))</f>
      </c>
      <c r="O16" s="233">
        <f>IF('MMR-Page1'!$V$15=TRUE,"",IF('MMR-Page2'!$S$17="","",IF('MMR-Page2'!$S$18="Conc","",IF('MMR-Page2'!$S$25="Report",'MMR-Page2'!$S$61,""))))</f>
      </c>
      <c r="P16" s="235"/>
      <c r="Q16" s="233">
        <f>IF('MMR-Page1'!$V$15=TRUE,"",IF('MMR-Page2'!$S$17="","",IF('MMR-Page2'!$S$18="Conc","",IF('MMR-Page2'!$S$28="MGD","03",IF('MMR-Page2'!$S$28="Lb","55",IF('MMR-Page2'!$S$28="def F","15",""))))))</f>
      </c>
      <c r="R16" s="233">
        <f>IF('MMR-Page1'!$V$15=TRUE,"",IF('MMR-Page2'!$S$17="","",IF('MMR-Page2'!$S$18="Conc",IF('MMR-Page2'!$S$23="-----","",IF('MMR-Page2'!$S$62&gt;0,"","9")),"")))</f>
      </c>
      <c r="S16" s="234">
        <f>IF('MMR-Page1'!$V$15=TRUE,"",IF('MMR-Page2'!$S$17="","",IF('MMR-Page2'!$S$18="Loading","",IF('MMR-Page2'!$S$61="","",IF('MMR-Page2'!$S$17="pH","&gt;",IF('MMR-Page2'!$S$17="Oxygen, dissolved [DO]","&gt;",""))))))</f>
      </c>
      <c r="T16" s="233">
        <f>IF('MMR-Page1'!$V$15=TRUE,"",IF('MMR-Page2'!$S$17="","",IF('MMR-Page2'!$S$18="Loading","",IF('MMR-Page2'!$S$23="Report",'MMR-Page2'!$S$62,""))))</f>
      </c>
      <c r="U16" s="235"/>
      <c r="V16" s="233">
        <f>IF('MMR-Page1'!$V$15=TRUE,"",IF('MMR-Page2'!$S$17="","",IF('MMR-Page2'!$S$18="Conc",IF('MMR-Page2'!$S$24="-----","",IF('MMR-Page2'!$S$60&gt;0,"","9")),"")))</f>
      </c>
      <c r="W16" s="234">
        <f>IF('MMR-Page1'!$V$15=TRUE,"",IF('MMR-Page2'!$S$17="","",IF('MMR-Page2'!$S$18="Loading","",IF('MMR-Page2'!$S$17="pH","",IF('MMR-Page2'!$S$17="Oxygen, dissolved [DO]","",IF('MMR-Page2'!$S$60="","",""))))))</f>
      </c>
      <c r="X16" s="233">
        <f>IF('MMR-Page1'!$V$15=TRUE,"",IF('MMR-Page2'!$S$17="","",IF('MMR-Page2'!$S$18="Loading","",IF('MMR-Page2'!$S$24="Report",'MMR-Page2'!$S$60,""))))</f>
      </c>
      <c r="Y16" s="235"/>
      <c r="Z16" s="233">
        <f>IF('MMR-Page1'!$V$15=TRUE,"",IF('MMR-Page2'!$S$17="","",IF('MMR-Page2'!$S$18="Conc",IF('MMR-Page2'!$S$25="-----","",IF('MMR-Page2'!$S$61&gt;0,"","9")),"")))</f>
      </c>
      <c r="AA16" s="234">
        <f>IF('MMR-Page1'!$V$15=TRUE,"",IF('MMR-Page2'!$S$17="","",IF('MMR-Page2'!$S$18="Loading","",IF('MMR-Page2'!$S$17="pH","&lt;",IF('MMR-Page2'!$S$61="","","")))))</f>
      </c>
      <c r="AB16" s="233">
        <f>IF('MMR-Page1'!$V$15=TRUE,"",IF('MMR-Page2'!$S$17="","",IF('MMR-Page2'!$S$18="Loading","",IF('MMR-Page2'!$S$25="Report",'MMR-Page2'!$S$61,""))))</f>
      </c>
      <c r="AC16" s="235"/>
      <c r="AD16" s="234">
        <f>IF('MMR-Page1'!$V$15=TRUE,"",IF('MMR-Page2'!$S$17="","",IF('MMR-Page2'!$S$18="Loading","",IF('MMR-Page2'!$T$28="MG/L","19",IF('MMR-Page2'!$T$28="Hi","12",IF('MMR-Page2'!$T$28="C / 100 ML","3Z",""))))))</f>
      </c>
      <c r="AE16" s="237"/>
      <c r="AF16" s="237">
        <f>IF('MMR-Page1'!$V$15=TRUE,"",IF('MMR-Page2'!$S$17="","",IF('MMR-Page2'!$S$21="Daily","01/01","")))</f>
      </c>
      <c r="AG16" s="237">
        <f>IF('MMR-Page1'!$V$15=TRUE,"",IF('MMR-Page2'!$S$17="","",IF('MMR-Page2'!$S$19="24 Hr total","TM",(IF('MMR-Page2'!$S$19="Grab","GR",(IF('MMR-Page2'!$S$19="Composite","CP","")))))))</f>
      </c>
      <c r="AH16" s="226">
        <f>IF('MMR-Page1'!$V$15=TRUE,"",IF('MMR-Page2'!$S$17="","",IF(AND('MMR-Page2'!$S$60="",'MMR-Page2'!$S$61="",'MMR-Page2'!$S$62=""),"9","")))</f>
      </c>
      <c r="AI16" s="250"/>
    </row>
    <row r="17" spans="1:35" s="158" customFormat="1" ht="15" customHeight="1">
      <c r="A17" s="240" t="str">
        <f>IF('MMR-Page1'!$V$15=TRUE,"#",IF('MMR-Page2'!$U$17="","#",CONCATENATE("IN",'MMR-Page1'!$C$13,'MMR-Page1'!$D$13,'MMR-Page1'!$E$13,'MMR-Page1'!$F$13,'MMR-Page1'!$G$13,'MMR-Page1'!$H$13,'MMR-Page1'!$I$13)))</f>
        <v>#</v>
      </c>
      <c r="B17" s="225">
        <f>IF('MMR-Page1'!$V$15=TRUE,"",IF('MMR-Page2'!$U$17="","",CONCATENATE('MMR-Page1'!$K$13,'MMR-Page1'!$L$13,'MMR-Page1'!$M$13)))</f>
      </c>
      <c r="C17" s="227">
        <f>IF('MMR-Page1'!$V$15=TRUE,"",IF('MMR-Page2'!$U$17="","",'MMR-Page1'!$N$13))</f>
      </c>
      <c r="D17" s="241">
        <f>IF('MMR-Page1'!$V$15=TRUE,"",IF('MMR-Page2'!$U$17="","",CONCATENATE("20",'MMR-Page1'!$R$13,'MMR-Page1'!$S$13,"-",'MMR-Page1'!$P$13,'MMR-Page1'!$Q$13,"-",instructions!$O$70)))</f>
      </c>
      <c r="E17" s="227">
        <f>IF('MMR-Page1'!$V$15=TRUE,"",IF('MMR-Page2'!$U$17="","",IF('MMR-Page1'!$V$15=TRUE,"C","")))</f>
      </c>
      <c r="F17" s="227">
        <f>IF('MMR-Page1'!$V$15=TRUE,"",IF('MMR-Page2'!$U$17="","",'MMR-Page2'!$U$20))</f>
      </c>
      <c r="G17" s="227">
        <f>IF('MMR-Page1'!$V$15=TRUE,"",IF('MMR-Page2'!$U$17="","",'MMR-Page2'!$U$26))</f>
      </c>
      <c r="H17" s="227">
        <f>IF('MMR-Page1'!$V$15=TRUE,"",IF('MMR-Page2'!$U$17="","",'MMR-Page2'!$U$27))</f>
      </c>
      <c r="I17" s="242">
        <f>IF('MMR-Page1'!$V$15=TRUE,"",IF('MMR-Page2'!$U$17="","",IF('MMR-Page2'!$U$18="Conc","",IF('MMR-Page2'!$U$24="-----","",IF('MMR-Page2'!$U$61=" ","9","")))))</f>
      </c>
      <c r="J17" s="243">
        <f>IF('MMR-Page1'!$V$15=TRUE,"",IF('MMR-Page2'!$U$17="","",IF('MMR-Page2'!$U$18="Conc","",IF('MMR-Page2'!$U$28="","=",""))))</f>
      </c>
      <c r="K17" s="242">
        <f>IF('MMR-Page1'!$V$15=TRUE,"",IF('MMR-Page2'!$U$17="","",IF('MMR-Page2'!$U$18="Conc","",IF('MMR-Page2'!$U$24="Report",'MMR-Page2'!$U$60,""))))</f>
      </c>
      <c r="L17" s="244"/>
      <c r="M17" s="242">
        <f>IF('MMR-Page1'!$V$15=TRUE,"",IF('MMR-Page2'!$U$17="","",IF('MMR-Page2'!$U$18="Conc","",IF('MMR-Page2'!$U$25="-----","",IF('MMR-Page2'!$U$61="","9","")))))</f>
      </c>
      <c r="N17" s="243">
        <f>IF('MMR-Page1'!$V$15=TRUE,"",IF('MMR-Page2'!$U$17="","",IF('MMR-Page2'!$U$18="Conc","",IF('MMR-Page2'!$U$28="","=",""))))</f>
      </c>
      <c r="O17" s="242">
        <f>IF('MMR-Page1'!$V$15=TRUE,"",IF('MMR-Page2'!$U$17="","",IF('MMR-Page2'!$U$18="Conc","",IF('MMR-Page2'!$U$25="Report",'MMR-Page2'!$U$61,""))))</f>
      </c>
      <c r="P17" s="244"/>
      <c r="Q17" s="242">
        <f>IF('MMR-Page1'!$V$15=TRUE,"",IF('MMR-Page2'!$U$17="","",IF('MMR-Page2'!$U$18="Conc","",IF('MMR-Page2'!$U$28="MGD","03",IF('MMR-Page2'!$U$28="Lb","55",IF('MMR-Page2'!$U$28="def F","15",""))))))</f>
      </c>
      <c r="R17" s="242">
        <f>IF('MMR-Page1'!$V$15=TRUE,"",IF('MMR-Page2'!$U$17="","",IF('MMR-Page2'!$U$18="Conc",IF('MMR-Page2'!$U$23="-----","",IF('MMR-Page2'!$U$62&gt;0,"","9")),"")))</f>
      </c>
      <c r="S17" s="243">
        <f>IF('MMR-Page1'!$V$15=TRUE,"",IF('MMR-Page2'!$U$17="","",IF('MMR-Page2'!$U$18="Loading","",IF('MMR-Page2'!$U$61="","",IF('MMR-Page2'!$U$17="pH","&gt;",IF('MMR-Page2'!$U$17="Oxygen, dissolved [DO]","&gt;",""))))))</f>
      </c>
      <c r="T17" s="242">
        <f>IF('MMR-Page1'!$V$15=TRUE,"",IF('MMR-Page2'!$U$17="","",IF('MMR-Page2'!$U$18="Loading","",IF('MMR-Page2'!$U$23="Report",'MMR-Page2'!$U$62,""))))</f>
      </c>
      <c r="U17" s="244"/>
      <c r="V17" s="242">
        <f>IF('MMR-Page1'!$V$15=TRUE,"",IF('MMR-Page2'!$U$17="","",IF('MMR-Page2'!$U$18="Conc",IF('MMR-Page2'!$U$24="-----","",IF('MMR-Page2'!$U$60&gt;0,"","9")),"")))</f>
      </c>
      <c r="W17" s="243">
        <f>IF('MMR-Page1'!$V$15=TRUE,"",IF('MMR-Page2'!$U$17="","",IF('MMR-Page2'!$U$18="Loading","",IF('MMR-Page2'!$U$17="pH","",IF('MMR-Page2'!$U$17="Oxygen, dissolved [DO]","",IF('MMR-Page2'!$U$60="","",""))))))</f>
      </c>
      <c r="X17" s="242">
        <f>IF('MMR-Page1'!$V$15=TRUE,"",IF('MMR-Page2'!$U$17="","",IF('MMR-Page2'!$U$18="Loading","",IF('MMR-Page2'!$U$24="Report",'MMR-Page2'!$U$60,""))))</f>
      </c>
      <c r="Y17" s="244"/>
      <c r="Z17" s="242">
        <f>IF('MMR-Page1'!$V$15=TRUE,"",IF('MMR-Page2'!$U$17="","",IF('MMR-Page2'!$U$18="Conc",IF('MMR-Page2'!$U$25="-----","",IF('MMR-Page2'!$U$61&gt;0,"","9")),"")))</f>
      </c>
      <c r="AA17" s="243">
        <f>IF('MMR-Page1'!$V$15=TRUE,"",IF('MMR-Page2'!$U$17="","",IF('MMR-Page2'!$U$18="Loading","",IF('MMR-Page2'!$U$17="pH","&lt;",IF('MMR-Page2'!$U$61="","","")))))</f>
      </c>
      <c r="AB17" s="242">
        <f>IF('MMR-Page1'!$V$15=TRUE,"",IF('MMR-Page2'!$U$17="","",IF('MMR-Page2'!$U$18="Loading","",IF('MMR-Page2'!$U$25="Report",'MMR-Page2'!$U$61,""))))</f>
      </c>
      <c r="AC17" s="245"/>
      <c r="AD17" s="243">
        <f>IF('MMR-Page1'!$V$15=TRUE,"",IF('MMR-Page2'!$U$17="","",IF('MMR-Page2'!$U$18="Loading","",IF('MMR-Page2'!$V$28="MG/L","19",IF('MMR-Page2'!$V$28="HI","12",IF('MMR-Page2'!$V$28="C / 100 ML","3Z",""))))))</f>
      </c>
      <c r="AE17" s="246"/>
      <c r="AF17" s="246">
        <f>IF('MMR-Page1'!$V$15=TRUE,"",IF('MMR-Page2'!$U$17="","",IF('MMR-Page2'!$U$21="Daily","01/01","")))</f>
      </c>
      <c r="AG17" s="246">
        <f>IF('MMR-Page1'!$V$15=TRUE,"",IF('MMR-Page2'!$U$17="","",IF('MMR-Page2'!$U$19="24 Hr total","TM",(IF('MMR-Page2'!$U$19="Grab","GR",(IF('MMR-Page2'!$U$19="Composite","CP","")))))))</f>
      </c>
      <c r="AH17" s="226">
        <f>IF('MMR-Page1'!$V$15=TRUE,"",IF('MMR-Page2'!$U$17="","",IF(AND('MMR-Page2'!$U$60="",'MMR-Page2'!$U$61="",'MMR-Page2'!$U$62=""),"9","")))</f>
      </c>
      <c r="AI17" s="165"/>
    </row>
  </sheetData>
  <sheetProtection selectLockedCells="1"/>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9.28125" defaultRowHeight="15"/>
  <cols>
    <col min="1" max="1" width="11.421875" style="138" customWidth="1"/>
    <col min="2" max="2" width="5.28125" style="140" customWidth="1"/>
    <col min="3" max="3" width="6.57421875" style="138" customWidth="1"/>
    <col min="4" max="4" width="13.28125" style="138" customWidth="1"/>
    <col min="5" max="5" width="16.00390625" style="150" customWidth="1"/>
    <col min="6" max="6" width="10.7109375" style="138" customWidth="1"/>
    <col min="7" max="16384" width="9.28125" style="138" customWidth="1"/>
  </cols>
  <sheetData>
    <row r="1" spans="1:6" s="139" customFormat="1" ht="42.75" customHeight="1">
      <c r="A1" s="220" t="s">
        <v>100</v>
      </c>
      <c r="B1" s="221" t="s">
        <v>93</v>
      </c>
      <c r="C1" s="220" t="s">
        <v>94</v>
      </c>
      <c r="D1" s="220" t="s">
        <v>95</v>
      </c>
      <c r="E1" s="222" t="s">
        <v>101</v>
      </c>
      <c r="F1" s="223" t="s">
        <v>114</v>
      </c>
    </row>
    <row r="2" spans="1:6" s="139" customFormat="1" ht="42.75" customHeight="1">
      <c r="A2" s="224" t="str">
        <f>IF('MMR-Page1'!$V$15=TRUE,CONCATENATE("IN",'MMR-Page1'!$C$13,'MMR-Page1'!$D$13,'MMR-Page1'!$E$13,'MMR-Page1'!$F$13,'MMR-Page1'!$G$13,'MMR-Page1'!$H$13,'MMR-Page1'!$I$13),"Do Not use this form with Data!")</f>
        <v>Do Not use this form with Data!</v>
      </c>
      <c r="B2" s="225">
        <f>IF('MMR-Page1'!$V$15=TRUE,CONCATENATE('MMR-Page1'!$K$13,'MMR-Page1'!$L$13,'MMR-Page1'!$M$13),"")</f>
      </c>
      <c r="C2" s="226">
        <f>IF('MMR-Page1'!$V$15=TRUE,'MMR-Page1'!$N$13,"")</f>
      </c>
      <c r="D2" s="226">
        <f>IF('MMR-Page1'!$V$15=TRUE,CONCATENATE("20",'MMR-Page1'!$R$13,'MMR-Page1'!$S$13,"-",'MMR-Page1'!$P$13,'MMR-Page1'!$Q$13,"-",instructions!$O$70),"")</f>
      </c>
      <c r="E2" s="227">
        <f>IF('MMR-Page1'!$V$15=TRUE,"C","")</f>
      </c>
      <c r="F2" s="227">
        <f>IF('MMR-Page1'!$V$15=TRUE,"Test","")</f>
      </c>
    </row>
  </sheetData>
  <sheetProtection selectLockedCells="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jdonnell</dc:creator>
  <cp:keywords/>
  <dc:description/>
  <cp:lastModifiedBy>Chinn, Kara</cp:lastModifiedBy>
  <cp:lastPrinted>2021-12-21T13:45:39Z</cp:lastPrinted>
  <dcterms:created xsi:type="dcterms:W3CDTF">2015-05-21T11:56:43Z</dcterms:created>
  <dcterms:modified xsi:type="dcterms:W3CDTF">2021-12-21T13:48:13Z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