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1745" windowHeight="12435" tabRatio="629"/>
  </bookViews>
  <sheets>
    <sheet name="IN Report Master" sheetId="1" r:id="rId1"/>
    <sheet name="Conversion Factors" sheetId="4" r:id="rId2"/>
    <sheet name="DOE Energy Equivalents" sheetId="5" r:id="rId3"/>
  </sheets>
  <definedNames>
    <definedName name="_xlnm.Print_Area" localSheetId="0">'IN Report Master'!$A$1:$H$54</definedName>
  </definedNames>
  <calcPr calcId="125725"/>
</workbook>
</file>

<file path=xl/calcChain.xml><?xml version="1.0" encoding="utf-8"?>
<calcChain xmlns="http://schemas.openxmlformats.org/spreadsheetml/2006/main">
  <c r="B6" i="4"/>
  <c r="F13" i="5"/>
  <c r="B2" i="4" s="1"/>
  <c r="D12" i="5"/>
  <c r="B4" i="4" s="1"/>
  <c r="B5" s="1"/>
  <c r="D29" i="5"/>
  <c r="B3" i="4" s="1"/>
  <c r="G46" i="5"/>
  <c r="F46"/>
  <c r="E46"/>
  <c r="D46"/>
  <c r="C46"/>
  <c r="G45"/>
  <c r="F45"/>
  <c r="E45"/>
  <c r="D45"/>
  <c r="C45"/>
  <c r="G44"/>
  <c r="F44"/>
  <c r="E44"/>
  <c r="D44"/>
  <c r="C44"/>
  <c r="G42"/>
  <c r="F42"/>
  <c r="E42"/>
  <c r="D42"/>
  <c r="C42"/>
  <c r="G40"/>
  <c r="F40"/>
  <c r="E40"/>
  <c r="D40"/>
  <c r="C40"/>
  <c r="G39"/>
  <c r="F39"/>
  <c r="E39"/>
  <c r="D39"/>
  <c r="C39"/>
  <c r="G38"/>
  <c r="F38"/>
  <c r="E38"/>
  <c r="D38"/>
  <c r="C38"/>
  <c r="G37"/>
  <c r="F37"/>
  <c r="E37"/>
  <c r="D37"/>
  <c r="C37"/>
  <c r="G34"/>
  <c r="F34"/>
  <c r="E34"/>
  <c r="D34"/>
  <c r="C34"/>
  <c r="G33"/>
  <c r="F33"/>
  <c r="E33"/>
  <c r="D33"/>
  <c r="C33"/>
  <c r="G32"/>
  <c r="F32"/>
  <c r="E32"/>
  <c r="D32"/>
  <c r="C32"/>
  <c r="G31"/>
  <c r="F31"/>
  <c r="E31"/>
  <c r="D31"/>
  <c r="C31"/>
  <c r="G29"/>
  <c r="F29"/>
  <c r="E29"/>
  <c r="C29"/>
  <c r="G26"/>
  <c r="F26"/>
  <c r="E26"/>
  <c r="D26"/>
  <c r="C26"/>
  <c r="G23"/>
  <c r="F23"/>
  <c r="E23"/>
  <c r="D23"/>
  <c r="C23"/>
  <c r="G20"/>
  <c r="F20"/>
  <c r="E20"/>
  <c r="D20"/>
  <c r="C20"/>
  <c r="G19"/>
  <c r="F19"/>
  <c r="E19"/>
  <c r="D19"/>
  <c r="C19"/>
  <c r="G18"/>
  <c r="F18"/>
  <c r="E18"/>
  <c r="D18"/>
  <c r="C18"/>
  <c r="G15"/>
  <c r="F15"/>
  <c r="E15"/>
  <c r="D15"/>
  <c r="C15"/>
  <c r="G14"/>
  <c r="F14"/>
  <c r="E14"/>
  <c r="D14"/>
  <c r="C14"/>
  <c r="G13"/>
  <c r="E13"/>
  <c r="D13"/>
  <c r="C13"/>
  <c r="G12"/>
  <c r="F12"/>
  <c r="E12"/>
  <c r="C12"/>
  <c r="G11"/>
  <c r="F11"/>
  <c r="E11"/>
  <c r="D11"/>
  <c r="C11"/>
  <c r="G9"/>
  <c r="F9"/>
  <c r="E9"/>
  <c r="D9"/>
  <c r="C9"/>
  <c r="G8"/>
  <c r="F8"/>
  <c r="E8"/>
  <c r="D8"/>
  <c r="C8"/>
  <c r="G7"/>
  <c r="F7"/>
  <c r="E7"/>
  <c r="D7"/>
  <c r="C7"/>
</calcChain>
</file>

<file path=xl/sharedStrings.xml><?xml version="1.0" encoding="utf-8"?>
<sst xmlns="http://schemas.openxmlformats.org/spreadsheetml/2006/main" count="112" uniqueCount="103">
  <si>
    <t>Institution:</t>
  </si>
  <si>
    <t>Contractor:</t>
  </si>
  <si>
    <t>Contact:</t>
  </si>
  <si>
    <t>Buildings Included in Contract:</t>
  </si>
  <si>
    <t>Savings Measures Included in Contract:</t>
  </si>
  <si>
    <t>Name and Organization of Person Filing this Report:</t>
  </si>
  <si>
    <t>through</t>
  </si>
  <si>
    <t>Energy Type</t>
  </si>
  <si>
    <t>Convertion Factor</t>
  </si>
  <si>
    <t>Units</t>
  </si>
  <si>
    <t>Electric (kWh)</t>
  </si>
  <si>
    <t>Oil (gal)</t>
  </si>
  <si>
    <t>Propane</t>
  </si>
  <si>
    <t>MMBtu/kWh</t>
  </si>
  <si>
    <t>MMBtu/ccf</t>
  </si>
  <si>
    <t>MMBtu/gal</t>
  </si>
  <si>
    <t>Energy and Work Equivalents</t>
  </si>
  <si>
    <t>As of 10/10/02</t>
  </si>
  <si>
    <t>Value to</t>
  </si>
  <si>
    <t xml:space="preserve">           INTO</t>
  </si>
  <si>
    <t>be converted</t>
  </si>
  <si>
    <t>FROM</t>
  </si>
  <si>
    <t>Joule</t>
  </si>
  <si>
    <t>Btu</t>
  </si>
  <si>
    <t>Calorie</t>
  </si>
  <si>
    <t>Kilowatt</t>
  </si>
  <si>
    <t>Kilogram</t>
  </si>
  <si>
    <t xml:space="preserve">   hour</t>
  </si>
  <si>
    <t>force meter</t>
  </si>
  <si>
    <t xml:space="preserve">     Gigajoule</t>
  </si>
  <si>
    <t xml:space="preserve">     Terajoule</t>
  </si>
  <si>
    <t xml:space="preserve">     Therm</t>
  </si>
  <si>
    <t xml:space="preserve">     Millions of Btus</t>
  </si>
  <si>
    <t xml:space="preserve">     Billions of Btus</t>
  </si>
  <si>
    <t xml:space="preserve">     Quad</t>
  </si>
  <si>
    <t>Gasoline</t>
  </si>
  <si>
    <t xml:space="preserve">     Full Gas Tank</t>
  </si>
  <si>
    <t xml:space="preserve">     Gallon</t>
  </si>
  <si>
    <t xml:space="preserve">     Barrel</t>
  </si>
  <si>
    <t>Crude Oil</t>
  </si>
  <si>
    <t>Coal ~ = +-</t>
  </si>
  <si>
    <t xml:space="preserve">     Ton (2000 lbs)</t>
  </si>
  <si>
    <t>Natural Gas</t>
  </si>
  <si>
    <t xml:space="preserve">     Million Cubic Feet</t>
  </si>
  <si>
    <t xml:space="preserve">     Kilocalorie</t>
  </si>
  <si>
    <t xml:space="preserve">     Thermie</t>
  </si>
  <si>
    <t xml:space="preserve">     Teracalorie</t>
  </si>
  <si>
    <t>Electricity</t>
  </si>
  <si>
    <t xml:space="preserve">     Kilowatthour</t>
  </si>
  <si>
    <t xml:space="preserve">     Megawatt hour</t>
  </si>
  <si>
    <t xml:space="preserve">     Gigawatt hour</t>
  </si>
  <si>
    <t xml:space="preserve">     Terawatt hour</t>
  </si>
  <si>
    <t>Foot pound</t>
  </si>
  <si>
    <t>Kilogram force meter</t>
  </si>
  <si>
    <t>Horsepower hour</t>
  </si>
  <si>
    <t>Metric hp hour</t>
  </si>
  <si>
    <t>Source: Monthly Energy Review, Energy Information Administration, Appendix A "Thermal conversion Factors",</t>
  </si>
  <si>
    <t xml:space="preserve">              Sept. 2002, p. 161</t>
  </si>
  <si>
    <t>Source: Energy Interrelationships, Federal Energy Administration, FEA/B-77/166, June 1977</t>
  </si>
  <si>
    <t xml:space="preserve">Source: Energy Statistics: Definitions, Units of Measure and Conversion Factors, United Nations Publication </t>
  </si>
  <si>
    <t>Natural Gas (ccf)</t>
  </si>
  <si>
    <t>Natural Gas (therms)</t>
  </si>
  <si>
    <t>Natural Gas (Dth)</t>
  </si>
  <si>
    <t>MMBtu/therm</t>
  </si>
  <si>
    <t>MMBtu/Dth</t>
  </si>
  <si>
    <t>(C)* Adjustment</t>
  </si>
  <si>
    <t>1. Energy Saved (MMBTU):</t>
  </si>
  <si>
    <t>2. Energy Costs Saved:</t>
  </si>
  <si>
    <t>3. Operating Costs Saved:</t>
  </si>
  <si>
    <t>4. Total Costs Saved:</t>
  </si>
  <si>
    <t>5. Total Thru Previous Years:</t>
  </si>
  <si>
    <t>Total Project Cost (with Financing):</t>
  </si>
  <si>
    <t>Total Guaranteed Savings:</t>
  </si>
  <si>
    <t>Report Year:</t>
  </si>
  <si>
    <t>Total Square Footage of Buildings in GESC:</t>
  </si>
  <si>
    <t>Pre-project Energy Cost:</t>
  </si>
  <si>
    <t>Approved by and Title of Authorized Institution Official:</t>
  </si>
  <si>
    <t>Questions? Call the DLGF at (317) 232-3777.</t>
  </si>
  <si>
    <r>
      <t xml:space="preserve">* Note: </t>
    </r>
    <r>
      <rPr>
        <sz val="12"/>
        <rFont val="Times New Roman"/>
        <family val="1"/>
      </rPr>
      <t>Provide attachment showing all assumptions (bill totals, measurement and verification, stipulations) and calculations used to determine adjustments.</t>
    </r>
  </si>
  <si>
    <t>(A) Baseline Constant (from contract)</t>
  </si>
  <si>
    <t>(D) ** Savings         (A-B+C)</t>
  </si>
  <si>
    <t>(E) Guaranteed Savings (From Contract)</t>
  </si>
  <si>
    <t>(F) Difference         + or - (D minus E)</t>
  </si>
  <si>
    <t>(B) Actual Post-Project</t>
  </si>
  <si>
    <r>
      <t>** Note</t>
    </r>
    <r>
      <rPr>
        <sz val="12"/>
        <rFont val="Times New Roman"/>
        <family val="1"/>
      </rPr>
      <t>: If column A, B, or C is blank or the listed savings have not been calculated using actual utility bills and operating costs, the reported figures have been stipulated and represent an estimation of savings.</t>
    </r>
  </si>
  <si>
    <t>Email to: gesc_reports@dlgf.in.gov</t>
  </si>
  <si>
    <t>Source: Studies in Methods, Series F, No. 44, 1987, Table 4, p. 21</t>
  </si>
  <si>
    <t>Source: Energy Interrelationships, June 1977, Federal energy Administration, FEA/B-77/166</t>
  </si>
  <si>
    <t>GUARANTEED ENERGY SAVINGS CONTRACT ANNUAL SAVINGS REPORT</t>
  </si>
  <si>
    <t>Department of Local Government Finance</t>
  </si>
  <si>
    <r>
      <t xml:space="preserve">Guarantee Period Covered by this Report </t>
    </r>
    <r>
      <rPr>
        <i/>
        <sz val="12"/>
        <rFont val="Times New Roman"/>
        <family val="1"/>
      </rPr>
      <t>(M/D/Yr)</t>
    </r>
    <r>
      <rPr>
        <sz val="12"/>
        <rFont val="Times New Roman"/>
        <family val="1"/>
      </rPr>
      <t>:</t>
    </r>
  </si>
  <si>
    <t xml:space="preserve">Send annually to the Department of Local Government Finance, 100 N Senate Ave, IGC-N, Room N1058, Indianapolis, Indiana, 46204 no later than sixty (60) days after the anniversary of each savings guarantee period. </t>
  </si>
  <si>
    <t>Telephone:</t>
  </si>
  <si>
    <r>
      <t xml:space="preserve">Address: </t>
    </r>
    <r>
      <rPr>
        <i/>
        <sz val="10"/>
        <rFont val="Times New Roman"/>
        <family val="1"/>
      </rPr>
      <t>(number and street, city, state, and ZIP code)</t>
    </r>
  </si>
  <si>
    <r>
      <t xml:space="preserve">Expires </t>
    </r>
    <r>
      <rPr>
        <i/>
        <sz val="10"/>
        <rFont val="Times New Roman"/>
        <family val="1"/>
      </rPr>
      <t>(M/D/Yr)</t>
    </r>
    <r>
      <rPr>
        <sz val="12"/>
        <rFont val="Times New Roman"/>
        <family val="1"/>
      </rPr>
      <t>:</t>
    </r>
  </si>
  <si>
    <r>
      <t>Completed</t>
    </r>
    <r>
      <rPr>
        <i/>
        <sz val="12"/>
        <rFont val="Times New Roman"/>
        <family val="1"/>
      </rPr>
      <t xml:space="preserve"> </t>
    </r>
    <r>
      <rPr>
        <i/>
        <sz val="10"/>
        <rFont val="Times New Roman"/>
        <family val="1"/>
      </rPr>
      <t>(M/D/Yr)</t>
    </r>
    <r>
      <rPr>
        <sz val="12"/>
        <rFont val="Times New Roman"/>
        <family val="1"/>
      </rPr>
      <t xml:space="preserve">: </t>
    </r>
  </si>
  <si>
    <r>
      <t xml:space="preserve">Contract Dates </t>
    </r>
    <r>
      <rPr>
        <sz val="12"/>
        <rFont val="Times New Roman"/>
        <family val="1"/>
      </rPr>
      <t>:</t>
    </r>
  </si>
  <si>
    <r>
      <t>Project Dates</t>
    </r>
    <r>
      <rPr>
        <sz val="12"/>
        <rFont val="Times New Roman"/>
        <family val="1"/>
      </rPr>
      <t>:</t>
    </r>
  </si>
  <si>
    <t>6. Accumulated Totals Thru This Period (4 + 5):</t>
  </si>
  <si>
    <r>
      <t xml:space="preserve">Signed </t>
    </r>
    <r>
      <rPr>
        <i/>
        <sz val="10"/>
        <rFont val="Times New Roman"/>
        <family val="1"/>
      </rPr>
      <t>(M/D/Yr)</t>
    </r>
    <r>
      <rPr>
        <sz val="12"/>
        <rFont val="Times New Roman"/>
        <family val="1"/>
      </rPr>
      <t>:</t>
    </r>
  </si>
  <si>
    <r>
      <t xml:space="preserve">Initiated </t>
    </r>
    <r>
      <rPr>
        <i/>
        <sz val="10"/>
        <rFont val="Times New Roman"/>
        <family val="1"/>
      </rPr>
      <t>(M/D/Yr)</t>
    </r>
    <r>
      <rPr>
        <sz val="12"/>
        <rFont val="Times New Roman"/>
        <family val="1"/>
      </rPr>
      <t>:</t>
    </r>
  </si>
  <si>
    <t>State Form 55886 (R2 / 7-16)</t>
  </si>
  <si>
    <t>E-mail Address:</t>
  </si>
</sst>
</file>

<file path=xl/styles.xml><?xml version="1.0" encoding="utf-8"?>
<styleSheet xmlns="http://schemas.openxmlformats.org/spreadsheetml/2006/main">
  <numFmts count="10">
    <numFmt numFmtId="164" formatCode="mmmm\ d\,\ yyyy"/>
    <numFmt numFmtId="165" formatCode="m/d/yy"/>
    <numFmt numFmtId="166" formatCode="&quot;$&quot;#,##0"/>
    <numFmt numFmtId="167" formatCode="0.0"/>
    <numFmt numFmtId="168" formatCode="0.0000E+00"/>
    <numFmt numFmtId="169" formatCode="0.00000"/>
    <numFmt numFmtId="170" formatCode="0.0000"/>
    <numFmt numFmtId="171" formatCode="m/d/yy;@"/>
    <numFmt numFmtId="172" formatCode="&quot;$&quot;#,##0.00"/>
    <numFmt numFmtId="173" formatCode="[&lt;=9999999]###\-####;\(###\)\ ###\-####"/>
  </numFmts>
  <fonts count="15">
    <font>
      <sz val="10"/>
      <name val="Arial"/>
    </font>
    <font>
      <sz val="10"/>
      <name val="Times New Roman"/>
      <family val="1"/>
    </font>
    <font>
      <b/>
      <sz val="16"/>
      <name val="Times New Roman"/>
      <family val="1"/>
    </font>
    <font>
      <sz val="12"/>
      <color indexed="39"/>
      <name val="Times New Roman"/>
      <family val="1"/>
    </font>
    <font>
      <b/>
      <sz val="11"/>
      <name val="Times New Roman"/>
      <family val="1"/>
    </font>
    <font>
      <b/>
      <sz val="12"/>
      <color indexed="39"/>
      <name val="Times New Roman"/>
      <family val="1"/>
    </font>
    <font>
      <b/>
      <sz val="12"/>
      <name val="Times New Roman"/>
      <family val="1"/>
    </font>
    <font>
      <b/>
      <sz val="12"/>
      <color indexed="17"/>
      <name val="Times New Roman"/>
      <family val="1"/>
    </font>
    <font>
      <b/>
      <sz val="12"/>
      <color indexed="56"/>
      <name val="Times New Roman"/>
      <family val="1"/>
    </font>
    <font>
      <sz val="12"/>
      <name val="Times New Roman"/>
      <family val="1"/>
    </font>
    <font>
      <u/>
      <sz val="10"/>
      <color theme="10"/>
      <name val="Arial"/>
    </font>
    <font>
      <b/>
      <sz val="11"/>
      <name val="Arial"/>
      <family val="2"/>
    </font>
    <font>
      <sz val="8"/>
      <name val="Arial"/>
      <family val="2"/>
    </font>
    <font>
      <i/>
      <sz val="12"/>
      <name val="Times New Roman"/>
      <family val="1"/>
    </font>
    <font>
      <i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4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168" fontId="6" fillId="0" borderId="0" xfId="0" applyNumberFormat="1" applyFont="1"/>
    <xf numFmtId="170" fontId="6" fillId="0" borderId="0" xfId="0" applyNumberFormat="1" applyFont="1"/>
    <xf numFmtId="0" fontId="8" fillId="0" borderId="0" xfId="0" applyFont="1"/>
    <xf numFmtId="167" fontId="6" fillId="0" borderId="0" xfId="0" applyNumberFormat="1" applyFont="1"/>
    <xf numFmtId="169" fontId="6" fillId="0" borderId="0" xfId="0" applyNumberFormat="1" applyFont="1"/>
    <xf numFmtId="168" fontId="9" fillId="0" borderId="0" xfId="0" applyNumberFormat="1" applyFont="1"/>
    <xf numFmtId="170" fontId="9" fillId="0" borderId="0" xfId="0" applyNumberFormat="1" applyFont="1"/>
    <xf numFmtId="0" fontId="9" fillId="0" borderId="0" xfId="0" applyFont="1" applyAlignment="1">
      <alignment wrapText="1"/>
    </xf>
    <xf numFmtId="169" fontId="9" fillId="0" borderId="0" xfId="0" applyNumberFormat="1" applyFont="1"/>
    <xf numFmtId="0" fontId="9" fillId="0" borderId="0" xfId="0" applyFont="1" applyBorder="1" applyAlignment="1">
      <alignment horizontal="center"/>
    </xf>
    <xf numFmtId="0" fontId="9" fillId="0" borderId="0" xfId="0" applyFont="1" applyBorder="1"/>
    <xf numFmtId="0" fontId="9" fillId="0" borderId="2" xfId="0" applyFont="1" applyBorder="1" applyAlignment="1">
      <alignment horizontal="center" wrapText="1"/>
    </xf>
    <xf numFmtId="0" fontId="9" fillId="0" borderId="0" xfId="0" applyFont="1" applyBorder="1" applyAlignment="1">
      <alignment vertical="center"/>
    </xf>
    <xf numFmtId="166" fontId="9" fillId="0" borderId="0" xfId="0" applyNumberFormat="1" applyFont="1" applyBorder="1" applyAlignment="1">
      <alignment vertical="center"/>
    </xf>
    <xf numFmtId="0" fontId="6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 wrapText="1"/>
    </xf>
    <xf numFmtId="0" fontId="10" fillId="0" borderId="0" xfId="1" applyAlignment="1" applyProtection="1"/>
    <xf numFmtId="0" fontId="2" fillId="0" borderId="0" xfId="0" applyFont="1" applyAlignment="1">
      <alignment horizontal="center"/>
    </xf>
    <xf numFmtId="0" fontId="1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171" fontId="9" fillId="0" borderId="0" xfId="0" applyNumberFormat="1" applyFont="1" applyBorder="1" applyAlignment="1">
      <alignment horizontal="center"/>
    </xf>
    <xf numFmtId="164" fontId="9" fillId="0" borderId="0" xfId="0" applyNumberFormat="1" applyFont="1" applyBorder="1" applyAlignment="1"/>
    <xf numFmtId="164" fontId="9" fillId="0" borderId="0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left" wrapText="1"/>
    </xf>
    <xf numFmtId="0" fontId="9" fillId="0" borderId="0" xfId="0" applyFont="1" applyAlignment="1">
      <alignment horizontal="right"/>
    </xf>
    <xf numFmtId="171" fontId="9" fillId="0" borderId="1" xfId="0" applyNumberFormat="1" applyFont="1" applyBorder="1" applyAlignment="1" applyProtection="1">
      <alignment horizontal="center"/>
      <protection locked="0"/>
    </xf>
    <xf numFmtId="1" fontId="9" fillId="0" borderId="1" xfId="0" applyNumberFormat="1" applyFont="1" applyBorder="1" applyAlignment="1" applyProtection="1">
      <protection locked="0"/>
    </xf>
    <xf numFmtId="166" fontId="9" fillId="0" borderId="1" xfId="0" applyNumberFormat="1" applyFont="1" applyBorder="1" applyAlignment="1" applyProtection="1">
      <alignment horizontal="right"/>
      <protection locked="0"/>
    </xf>
    <xf numFmtId="172" fontId="9" fillId="0" borderId="2" xfId="0" applyNumberFormat="1" applyFont="1" applyBorder="1" applyAlignment="1" applyProtection="1">
      <alignment vertical="center"/>
      <protection locked="0"/>
    </xf>
    <xf numFmtId="172" fontId="9" fillId="0" borderId="2" xfId="0" applyNumberFormat="1" applyFont="1" applyBorder="1" applyAlignment="1" applyProtection="1">
      <alignment horizontal="center" vertical="center"/>
      <protection locked="0"/>
    </xf>
    <xf numFmtId="2" fontId="9" fillId="0" borderId="1" xfId="0" applyNumberFormat="1" applyFont="1" applyBorder="1" applyAlignment="1" applyProtection="1">
      <alignment horizontal="center"/>
      <protection locked="0"/>
    </xf>
    <xf numFmtId="3" fontId="9" fillId="0" borderId="2" xfId="0" applyNumberFormat="1" applyFont="1" applyBorder="1" applyAlignment="1" applyProtection="1">
      <alignment vertical="center"/>
      <protection locked="0"/>
    </xf>
    <xf numFmtId="3" fontId="9" fillId="0" borderId="2" xfId="0" applyNumberFormat="1" applyFont="1" applyBorder="1" applyAlignment="1" applyProtection="1">
      <alignment horizontal="center" vertical="center"/>
      <protection locked="0"/>
    </xf>
    <xf numFmtId="171" fontId="9" fillId="0" borderId="1" xfId="0" applyNumberFormat="1" applyFont="1" applyBorder="1" applyAlignment="1" applyProtection="1">
      <alignment horizontal="left"/>
      <protection locked="0"/>
    </xf>
    <xf numFmtId="0" fontId="9" fillId="0" borderId="0" xfId="0" applyFont="1"/>
    <xf numFmtId="0" fontId="9" fillId="0" borderId="0" xfId="0" applyFont="1"/>
    <xf numFmtId="0" fontId="9" fillId="0" borderId="0" xfId="0" applyFont="1" applyFill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6" xfId="0" applyFont="1" applyBorder="1" applyAlignment="1" applyProtection="1">
      <alignment horizontal="left" wrapText="1"/>
      <protection locked="0"/>
    </xf>
    <xf numFmtId="0" fontId="9" fillId="0" borderId="7" xfId="0" applyFont="1" applyBorder="1" applyAlignment="1" applyProtection="1">
      <alignment horizontal="left" wrapText="1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8" xfId="0" applyFont="1" applyBorder="1" applyAlignment="1" applyProtection="1">
      <alignment horizontal="left" wrapText="1"/>
      <protection locked="0"/>
    </xf>
    <xf numFmtId="0" fontId="9" fillId="0" borderId="0" xfId="0" applyFont="1" applyBorder="1" applyAlignment="1" applyProtection="1">
      <alignment horizontal="left" wrapText="1"/>
      <protection locked="0"/>
    </xf>
    <xf numFmtId="0" fontId="9" fillId="0" borderId="12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165" fontId="9" fillId="0" borderId="0" xfId="0" applyNumberFormat="1" applyFont="1" applyBorder="1" applyAlignment="1">
      <alignment horizontal="left"/>
    </xf>
    <xf numFmtId="0" fontId="9" fillId="0" borderId="0" xfId="0" applyFont="1" applyAlignment="1">
      <alignment horizontal="right"/>
    </xf>
    <xf numFmtId="0" fontId="9" fillId="0" borderId="11" xfId="0" applyFont="1" applyBorder="1" applyAlignment="1" applyProtection="1">
      <alignment horizontal="left" vertical="top" wrapText="1"/>
      <protection locked="0"/>
    </xf>
    <xf numFmtId="0" fontId="9" fillId="0" borderId="0" xfId="0" applyFont="1" applyBorder="1" applyAlignment="1" applyProtection="1">
      <alignment horizontal="left" vertical="top" wrapText="1"/>
      <protection locked="0"/>
    </xf>
    <xf numFmtId="0" fontId="9" fillId="0" borderId="12" xfId="0" applyFont="1" applyBorder="1" applyAlignment="1" applyProtection="1">
      <alignment horizontal="left" vertical="top" wrapText="1"/>
      <protection locked="0"/>
    </xf>
    <xf numFmtId="0" fontId="9" fillId="0" borderId="9" xfId="0" applyFont="1" applyBorder="1" applyAlignment="1" applyProtection="1">
      <alignment horizontal="left" vertical="top" wrapText="1"/>
      <protection locked="0"/>
    </xf>
    <xf numFmtId="0" fontId="9" fillId="0" borderId="1" xfId="0" applyFont="1" applyBorder="1" applyAlignment="1" applyProtection="1">
      <alignment horizontal="left" vertical="top" wrapText="1"/>
      <protection locked="0"/>
    </xf>
    <xf numFmtId="0" fontId="9" fillId="0" borderId="8" xfId="0" applyFont="1" applyBorder="1" applyAlignment="1" applyProtection="1">
      <alignment horizontal="left" vertical="top" wrapText="1"/>
      <protection locked="0"/>
    </xf>
    <xf numFmtId="49" fontId="9" fillId="0" borderId="0" xfId="0" applyNumberFormat="1" applyFont="1" applyAlignment="1" applyProtection="1">
      <alignment horizontal="left" wrapText="1"/>
      <protection locked="0"/>
    </xf>
    <xf numFmtId="49" fontId="9" fillId="0" borderId="5" xfId="0" applyNumberFormat="1" applyFont="1" applyBorder="1" applyAlignment="1" applyProtection="1">
      <alignment horizontal="left" wrapText="1"/>
      <protection locked="0"/>
    </xf>
    <xf numFmtId="0" fontId="9" fillId="0" borderId="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3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center" vertical="center" wrapText="1"/>
    </xf>
    <xf numFmtId="173" fontId="9" fillId="0" borderId="6" xfId="0" applyNumberFormat="1" applyFont="1" applyBorder="1" applyAlignment="1" applyProtection="1">
      <alignment horizontal="left" wrapText="1"/>
      <protection locked="0"/>
    </xf>
    <xf numFmtId="173" fontId="9" fillId="0" borderId="7" xfId="0" applyNumberFormat="1" applyFont="1" applyBorder="1" applyAlignment="1" applyProtection="1">
      <alignment horizontal="left" wrapText="1"/>
      <protection locked="0"/>
    </xf>
    <xf numFmtId="173" fontId="9" fillId="0" borderId="1" xfId="0" applyNumberFormat="1" applyFont="1" applyBorder="1" applyAlignment="1" applyProtection="1">
      <alignment horizontal="left" wrapText="1"/>
      <protection locked="0"/>
    </xf>
    <xf numFmtId="173" fontId="9" fillId="0" borderId="8" xfId="0" applyNumberFormat="1" applyFont="1" applyBorder="1" applyAlignment="1" applyProtection="1">
      <alignment horizontal="left" wrapText="1"/>
      <protection locked="0"/>
    </xf>
    <xf numFmtId="0" fontId="9" fillId="0" borderId="10" xfId="0" applyFont="1" applyBorder="1" applyAlignment="1">
      <alignment horizontal="left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323850</xdr:colOff>
      <xdr:row>0</xdr:row>
      <xdr:rowOff>0</xdr:rowOff>
    </xdr:from>
    <xdr:to>
      <xdr:col>0</xdr:col>
      <xdr:colOff>904875</xdr:colOff>
      <xdr:row>3</xdr:row>
      <xdr:rowOff>85725</xdr:rowOff>
    </xdr:to>
    <xdr:pic>
      <xdr:nvPicPr>
        <xdr:cNvPr id="1025" name="Picture 1" descr="Seal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0"/>
          <a:ext cx="581025" cy="571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54"/>
  <sheetViews>
    <sheetView tabSelected="1" zoomScaleNormal="100" workbookViewId="0">
      <selection activeCell="D6" sqref="D6"/>
    </sheetView>
  </sheetViews>
  <sheetFormatPr defaultColWidth="17.85546875" defaultRowHeight="12.75"/>
  <cols>
    <col min="1" max="16384" width="17.85546875" style="1"/>
  </cols>
  <sheetData>
    <row r="1" spans="1:8" ht="12.75" customHeight="1">
      <c r="B1" s="27" t="s">
        <v>88</v>
      </c>
    </row>
    <row r="2" spans="1:8">
      <c r="B2" s="26" t="s">
        <v>101</v>
      </c>
    </row>
    <row r="3" spans="1:8" ht="12.75" customHeight="1">
      <c r="A3" s="25"/>
      <c r="B3" s="28" t="s">
        <v>89</v>
      </c>
      <c r="C3" s="25"/>
      <c r="D3" s="25"/>
      <c r="E3" s="25"/>
      <c r="F3" s="25"/>
      <c r="G3" s="25"/>
      <c r="H3" s="25"/>
    </row>
    <row r="4" spans="1:8" ht="14.25">
      <c r="A4" s="3"/>
      <c r="B4" s="3"/>
      <c r="C4" s="3"/>
      <c r="D4" s="3"/>
      <c r="E4" s="3"/>
      <c r="F4" s="3"/>
      <c r="G4" s="3"/>
      <c r="H4" s="3"/>
    </row>
    <row r="5" spans="1:8" ht="14.25">
      <c r="A5" s="3"/>
      <c r="B5" s="3"/>
      <c r="C5" s="3"/>
      <c r="D5" s="3"/>
      <c r="E5" s="3"/>
      <c r="F5" s="3"/>
      <c r="G5" s="3"/>
      <c r="H5" s="3"/>
    </row>
    <row r="6" spans="1:8" s="33" customFormat="1" ht="15.75">
      <c r="A6" s="32" t="s">
        <v>90</v>
      </c>
      <c r="D6" s="36"/>
      <c r="E6" s="17" t="s">
        <v>6</v>
      </c>
      <c r="F6" s="36"/>
      <c r="G6" s="17" t="s">
        <v>73</v>
      </c>
      <c r="H6" s="37"/>
    </row>
    <row r="7" spans="1:8" s="33" customFormat="1" ht="15.75"/>
    <row r="8" spans="1:8" s="15" customFormat="1" ht="15.75">
      <c r="A8" s="52" t="s">
        <v>0</v>
      </c>
      <c r="B8" s="54"/>
      <c r="C8" s="54"/>
      <c r="D8" s="55"/>
      <c r="E8" s="52" t="s">
        <v>1</v>
      </c>
      <c r="F8" s="54"/>
      <c r="G8" s="54"/>
      <c r="H8" s="55"/>
    </row>
    <row r="9" spans="1:8" s="15" customFormat="1" ht="15.75">
      <c r="A9" s="53"/>
      <c r="B9" s="56"/>
      <c r="C9" s="56"/>
      <c r="D9" s="57"/>
      <c r="E9" s="53"/>
      <c r="F9" s="56"/>
      <c r="G9" s="56"/>
      <c r="H9" s="57"/>
    </row>
    <row r="10" spans="1:8" s="15" customFormat="1" ht="15.75">
      <c r="A10" s="52" t="s">
        <v>2</v>
      </c>
      <c r="B10" s="54"/>
      <c r="C10" s="54"/>
      <c r="D10" s="55"/>
      <c r="E10" s="52" t="s">
        <v>2</v>
      </c>
      <c r="F10" s="54"/>
      <c r="G10" s="54"/>
      <c r="H10" s="55"/>
    </row>
    <row r="11" spans="1:8" s="15" customFormat="1" ht="15.75">
      <c r="A11" s="53"/>
      <c r="B11" s="56"/>
      <c r="C11" s="56"/>
      <c r="D11" s="57"/>
      <c r="E11" s="53"/>
      <c r="F11" s="56"/>
      <c r="G11" s="56"/>
      <c r="H11" s="57"/>
    </row>
    <row r="12" spans="1:8" s="15" customFormat="1" ht="15.75">
      <c r="A12" s="52" t="s">
        <v>92</v>
      </c>
      <c r="B12" s="77"/>
      <c r="C12" s="77"/>
      <c r="D12" s="78"/>
      <c r="E12" s="52" t="s">
        <v>92</v>
      </c>
      <c r="F12" s="77"/>
      <c r="G12" s="77"/>
      <c r="H12" s="78"/>
    </row>
    <row r="13" spans="1:8" s="15" customFormat="1" ht="15.75">
      <c r="A13" s="53"/>
      <c r="B13" s="79"/>
      <c r="C13" s="79"/>
      <c r="D13" s="80"/>
      <c r="E13" s="53"/>
      <c r="F13" s="79"/>
      <c r="G13" s="79"/>
      <c r="H13" s="80"/>
    </row>
    <row r="14" spans="1:8" s="15" customFormat="1" ht="15.75">
      <c r="A14" s="52" t="s">
        <v>93</v>
      </c>
      <c r="B14" s="54"/>
      <c r="C14" s="54"/>
      <c r="D14" s="55"/>
      <c r="E14" s="52" t="s">
        <v>93</v>
      </c>
      <c r="F14" s="54"/>
      <c r="G14" s="54"/>
      <c r="H14" s="55"/>
    </row>
    <row r="15" spans="1:8" s="15" customFormat="1" ht="15.75">
      <c r="A15" s="76"/>
      <c r="B15" s="58"/>
      <c r="C15" s="58"/>
      <c r="D15" s="59"/>
      <c r="E15" s="76"/>
      <c r="F15" s="58"/>
      <c r="G15" s="58"/>
      <c r="H15" s="59"/>
    </row>
    <row r="16" spans="1:8" s="15" customFormat="1" ht="15.75">
      <c r="A16" s="53"/>
      <c r="B16" s="56"/>
      <c r="C16" s="56"/>
      <c r="D16" s="57"/>
      <c r="E16" s="53"/>
      <c r="F16" s="56"/>
      <c r="G16" s="56"/>
      <c r="H16" s="57"/>
    </row>
    <row r="17" spans="1:9" s="15" customFormat="1" ht="15.75">
      <c r="A17" s="52" t="s">
        <v>102</v>
      </c>
      <c r="B17" s="54"/>
      <c r="C17" s="54"/>
      <c r="D17" s="55"/>
      <c r="E17" s="52" t="s">
        <v>102</v>
      </c>
      <c r="F17" s="54"/>
      <c r="G17" s="54"/>
      <c r="H17" s="55"/>
    </row>
    <row r="18" spans="1:9" s="15" customFormat="1" ht="15.75">
      <c r="A18" s="53"/>
      <c r="B18" s="56"/>
      <c r="C18" s="56"/>
      <c r="D18" s="57"/>
      <c r="E18" s="53"/>
      <c r="F18" s="56"/>
      <c r="G18" s="56"/>
      <c r="H18" s="57"/>
    </row>
    <row r="19" spans="1:9" s="33" customFormat="1" ht="15.75"/>
    <row r="20" spans="1:9" s="33" customFormat="1" ht="15.75">
      <c r="A20" s="32" t="s">
        <v>96</v>
      </c>
      <c r="B20" s="33" t="s">
        <v>99</v>
      </c>
      <c r="C20" s="44"/>
      <c r="D20" s="29"/>
      <c r="E20" s="33" t="s">
        <v>94</v>
      </c>
      <c r="F20" s="44"/>
    </row>
    <row r="21" spans="1:9" s="33" customFormat="1" ht="15.75">
      <c r="A21" s="32"/>
      <c r="C21" s="30"/>
      <c r="D21" s="18"/>
      <c r="F21" s="31"/>
    </row>
    <row r="22" spans="1:9" s="33" customFormat="1" ht="15.75">
      <c r="A22" s="32" t="s">
        <v>97</v>
      </c>
      <c r="B22" s="32" t="s">
        <v>100</v>
      </c>
      <c r="C22" s="44"/>
      <c r="D22" s="18"/>
      <c r="E22" s="33" t="s">
        <v>95</v>
      </c>
      <c r="F22" s="36"/>
    </row>
    <row r="23" spans="1:9" s="33" customFormat="1" ht="15.75"/>
    <row r="24" spans="1:9" s="33" customFormat="1" ht="15.75">
      <c r="A24" s="32" t="s">
        <v>71</v>
      </c>
      <c r="C24" s="38"/>
      <c r="E24" s="62" t="s">
        <v>72</v>
      </c>
      <c r="F24" s="62"/>
      <c r="G24" s="38"/>
    </row>
    <row r="25" spans="1:9" s="33" customFormat="1" ht="15.75"/>
    <row r="26" spans="1:9" s="33" customFormat="1" ht="48.95" customHeight="1">
      <c r="A26" s="48"/>
      <c r="B26" s="49"/>
      <c r="C26" s="19" t="s">
        <v>79</v>
      </c>
      <c r="D26" s="19" t="s">
        <v>83</v>
      </c>
      <c r="E26" s="19" t="s">
        <v>65</v>
      </c>
      <c r="F26" s="19" t="s">
        <v>80</v>
      </c>
      <c r="G26" s="19" t="s">
        <v>81</v>
      </c>
      <c r="H26" s="19" t="s">
        <v>82</v>
      </c>
      <c r="I26" s="15"/>
    </row>
    <row r="27" spans="1:9" s="33" customFormat="1" ht="15.75">
      <c r="A27" s="50" t="s">
        <v>66</v>
      </c>
      <c r="B27" s="51"/>
      <c r="C27" s="42"/>
      <c r="D27" s="42"/>
      <c r="E27" s="42"/>
      <c r="F27" s="43"/>
      <c r="G27" s="43"/>
      <c r="H27" s="43"/>
    </row>
    <row r="28" spans="1:9" s="33" customFormat="1" ht="15.75">
      <c r="A28" s="50" t="s">
        <v>67</v>
      </c>
      <c r="B28" s="51"/>
      <c r="C28" s="39"/>
      <c r="D28" s="39"/>
      <c r="E28" s="39"/>
      <c r="F28" s="40"/>
      <c r="G28" s="40"/>
      <c r="H28" s="40"/>
    </row>
    <row r="29" spans="1:9" s="33" customFormat="1" ht="15.75">
      <c r="A29" s="50" t="s">
        <v>68</v>
      </c>
      <c r="B29" s="51"/>
      <c r="C29" s="39"/>
      <c r="D29" s="39"/>
      <c r="E29" s="39"/>
      <c r="F29" s="40"/>
      <c r="G29" s="40"/>
      <c r="H29" s="40"/>
    </row>
    <row r="30" spans="1:9" s="33" customFormat="1" ht="15.75">
      <c r="A30" s="50" t="s">
        <v>69</v>
      </c>
      <c r="B30" s="51"/>
      <c r="C30" s="39"/>
      <c r="D30" s="39"/>
      <c r="E30" s="39"/>
      <c r="F30" s="40"/>
      <c r="G30" s="40"/>
      <c r="H30" s="40"/>
    </row>
    <row r="31" spans="1:9" s="33" customFormat="1" ht="15.75">
      <c r="A31" s="50" t="s">
        <v>70</v>
      </c>
      <c r="B31" s="51"/>
      <c r="C31" s="39"/>
      <c r="D31" s="39"/>
      <c r="E31" s="39"/>
      <c r="F31" s="40"/>
      <c r="G31" s="40"/>
      <c r="H31" s="40"/>
    </row>
    <row r="32" spans="1:9" s="33" customFormat="1" ht="30.75" customHeight="1">
      <c r="A32" s="74" t="s">
        <v>98</v>
      </c>
      <c r="B32" s="75"/>
      <c r="C32" s="39"/>
      <c r="D32" s="39"/>
      <c r="E32" s="39"/>
      <c r="F32" s="40"/>
      <c r="G32" s="40"/>
      <c r="H32" s="40"/>
    </row>
    <row r="33" spans="1:9" s="33" customFormat="1" ht="15.75">
      <c r="A33" s="20"/>
      <c r="B33" s="20"/>
      <c r="C33" s="21"/>
      <c r="D33" s="20"/>
      <c r="E33" s="20"/>
      <c r="F33" s="20"/>
      <c r="G33" s="20"/>
      <c r="H33" s="21"/>
    </row>
    <row r="34" spans="1:9" s="33" customFormat="1" ht="15.75">
      <c r="A34" s="61" t="s">
        <v>78</v>
      </c>
      <c r="B34" s="61"/>
      <c r="C34" s="61"/>
      <c r="D34" s="61"/>
      <c r="E34" s="61"/>
      <c r="F34" s="61"/>
      <c r="G34" s="61"/>
      <c r="H34" s="61"/>
    </row>
    <row r="35" spans="1:9" s="33" customFormat="1" ht="15.75">
      <c r="A35" s="22"/>
      <c r="B35" s="22"/>
      <c r="C35" s="22"/>
      <c r="D35" s="22"/>
      <c r="E35" s="22"/>
      <c r="F35" s="22"/>
      <c r="G35" s="22"/>
      <c r="H35" s="22"/>
    </row>
    <row r="36" spans="1:9" s="33" customFormat="1" ht="30.6" customHeight="1">
      <c r="A36" s="61" t="s">
        <v>84</v>
      </c>
      <c r="B36" s="61"/>
      <c r="C36" s="61"/>
      <c r="D36" s="61"/>
      <c r="E36" s="61"/>
      <c r="F36" s="61"/>
      <c r="G36" s="61"/>
      <c r="H36" s="61"/>
    </row>
    <row r="37" spans="1:9" s="33" customFormat="1" ht="15.75"/>
    <row r="38" spans="1:9" s="33" customFormat="1" ht="15.75">
      <c r="A38" s="63" t="s">
        <v>74</v>
      </c>
      <c r="B38" s="63"/>
      <c r="C38" s="63"/>
      <c r="D38" s="41"/>
      <c r="G38" s="35" t="s">
        <v>75</v>
      </c>
      <c r="H38" s="38"/>
    </row>
    <row r="39" spans="1:9" s="33" customFormat="1" ht="15.75"/>
    <row r="40" spans="1:9" s="33" customFormat="1" ht="15.75">
      <c r="A40" s="81" t="s">
        <v>3</v>
      </c>
      <c r="B40" s="82"/>
      <c r="C40" s="83"/>
      <c r="D40" s="18"/>
      <c r="E40" s="81" t="s">
        <v>4</v>
      </c>
      <c r="F40" s="82"/>
      <c r="G40" s="82"/>
      <c r="H40" s="83"/>
    </row>
    <row r="41" spans="1:9" s="33" customFormat="1" ht="15.75">
      <c r="A41" s="64"/>
      <c r="B41" s="65"/>
      <c r="C41" s="66"/>
      <c r="D41" s="18"/>
      <c r="E41" s="64"/>
      <c r="F41" s="65"/>
      <c r="G41" s="65"/>
      <c r="H41" s="66"/>
    </row>
    <row r="42" spans="1:9" s="33" customFormat="1" ht="15.75">
      <c r="A42" s="64"/>
      <c r="B42" s="65"/>
      <c r="C42" s="66"/>
      <c r="D42" s="18"/>
      <c r="E42" s="64"/>
      <c r="F42" s="65"/>
      <c r="G42" s="65"/>
      <c r="H42" s="66"/>
    </row>
    <row r="43" spans="1:9" s="33" customFormat="1" ht="15.75">
      <c r="A43" s="64"/>
      <c r="B43" s="65"/>
      <c r="C43" s="66"/>
      <c r="D43" s="18"/>
      <c r="E43" s="64"/>
      <c r="F43" s="65"/>
      <c r="G43" s="65"/>
      <c r="H43" s="66"/>
    </row>
    <row r="44" spans="1:9" s="33" customFormat="1" ht="15.75">
      <c r="A44" s="64"/>
      <c r="B44" s="65"/>
      <c r="C44" s="66"/>
      <c r="D44" s="18"/>
      <c r="E44" s="64"/>
      <c r="F44" s="65"/>
      <c r="G44" s="65"/>
      <c r="H44" s="66"/>
    </row>
    <row r="45" spans="1:9" s="33" customFormat="1" ht="15.75">
      <c r="A45" s="64"/>
      <c r="B45" s="65"/>
      <c r="C45" s="66"/>
      <c r="D45" s="18"/>
      <c r="E45" s="64"/>
      <c r="F45" s="65"/>
      <c r="G45" s="65"/>
      <c r="H45" s="66"/>
    </row>
    <row r="46" spans="1:9" s="33" customFormat="1" ht="15.75">
      <c r="A46" s="67"/>
      <c r="B46" s="68"/>
      <c r="C46" s="69"/>
      <c r="D46" s="18"/>
      <c r="E46" s="67"/>
      <c r="F46" s="68"/>
      <c r="G46" s="68"/>
      <c r="H46" s="69"/>
    </row>
    <row r="47" spans="1:9" s="33" customFormat="1" ht="15.75">
      <c r="A47" s="18"/>
      <c r="B47" s="18"/>
      <c r="C47" s="18"/>
      <c r="D47" s="18"/>
      <c r="E47" s="18"/>
      <c r="F47" s="18"/>
      <c r="G47" s="18"/>
      <c r="H47" s="18"/>
    </row>
    <row r="48" spans="1:9" s="33" customFormat="1" ht="15.75">
      <c r="A48" s="73" t="s">
        <v>5</v>
      </c>
      <c r="B48" s="73"/>
      <c r="C48" s="73"/>
      <c r="E48" s="72" t="s">
        <v>76</v>
      </c>
      <c r="F48" s="72"/>
      <c r="G48" s="72"/>
      <c r="H48" s="72"/>
      <c r="I48" s="18"/>
    </row>
    <row r="49" spans="1:8" s="33" customFormat="1" ht="15.75">
      <c r="A49" s="70"/>
      <c r="B49" s="70"/>
      <c r="C49" s="70"/>
      <c r="E49" s="70"/>
      <c r="F49" s="70"/>
      <c r="G49" s="70"/>
      <c r="H49" s="70"/>
    </row>
    <row r="50" spans="1:8" s="33" customFormat="1" ht="16.5" thickBot="1">
      <c r="A50" s="71"/>
      <c r="B50" s="71"/>
      <c r="C50" s="71"/>
      <c r="E50" s="71"/>
      <c r="F50" s="71"/>
      <c r="G50" s="71"/>
      <c r="H50" s="71"/>
    </row>
    <row r="51" spans="1:8" s="33" customFormat="1" ht="15.75"/>
    <row r="52" spans="1:8" s="33" customFormat="1" ht="33.950000000000003" customHeight="1">
      <c r="A52" s="60" t="s">
        <v>91</v>
      </c>
      <c r="B52" s="60"/>
      <c r="C52" s="60"/>
      <c r="D52" s="60"/>
      <c r="E52" s="60"/>
      <c r="F52" s="60"/>
      <c r="G52" s="60"/>
      <c r="H52" s="60"/>
    </row>
    <row r="53" spans="1:8" s="33" customFormat="1" ht="15" customHeight="1">
      <c r="A53" s="34"/>
      <c r="B53" s="34"/>
      <c r="C53" s="34"/>
      <c r="D53" s="34"/>
      <c r="E53" s="34"/>
      <c r="F53" s="34"/>
      <c r="G53" s="34"/>
      <c r="H53" s="34"/>
    </row>
    <row r="54" spans="1:8" s="33" customFormat="1" ht="15.75">
      <c r="A54" s="46" t="s">
        <v>77</v>
      </c>
      <c r="B54" s="46"/>
      <c r="C54" s="46"/>
      <c r="D54" s="47" t="s">
        <v>85</v>
      </c>
      <c r="E54" s="47"/>
      <c r="F54" s="47"/>
    </row>
  </sheetData>
  <sheetProtection password="CACC" sheet="1" objects="1" scenarios="1" selectLockedCells="1"/>
  <mergeCells count="42">
    <mergeCell ref="A17:A18"/>
    <mergeCell ref="B17:D18"/>
    <mergeCell ref="E17:E18"/>
    <mergeCell ref="F17:H18"/>
    <mergeCell ref="A40:C40"/>
    <mergeCell ref="E40:H40"/>
    <mergeCell ref="A27:B27"/>
    <mergeCell ref="A29:B29"/>
    <mergeCell ref="A30:B30"/>
    <mergeCell ref="A31:B31"/>
    <mergeCell ref="A49:C50"/>
    <mergeCell ref="E49:H50"/>
    <mergeCell ref="E48:H48"/>
    <mergeCell ref="A48:C48"/>
    <mergeCell ref="F8:H9"/>
    <mergeCell ref="A8:A9"/>
    <mergeCell ref="E8:E9"/>
    <mergeCell ref="B10:D11"/>
    <mergeCell ref="A32:B32"/>
    <mergeCell ref="A14:A16"/>
    <mergeCell ref="B12:D13"/>
    <mergeCell ref="B14:D16"/>
    <mergeCell ref="E12:E13"/>
    <mergeCell ref="F12:H13"/>
    <mergeCell ref="E14:E16"/>
    <mergeCell ref="B8:D9"/>
    <mergeCell ref="A54:C54"/>
    <mergeCell ref="D54:F54"/>
    <mergeCell ref="A26:B26"/>
    <mergeCell ref="A28:B28"/>
    <mergeCell ref="A10:A11"/>
    <mergeCell ref="E10:E11"/>
    <mergeCell ref="F10:H11"/>
    <mergeCell ref="A12:A13"/>
    <mergeCell ref="F14:H16"/>
    <mergeCell ref="A52:H52"/>
    <mergeCell ref="A34:H34"/>
    <mergeCell ref="A36:H36"/>
    <mergeCell ref="E24:F24"/>
    <mergeCell ref="A38:C38"/>
    <mergeCell ref="A41:C46"/>
    <mergeCell ref="E41:H46"/>
  </mergeCells>
  <phoneticPr fontId="0" type="noConversion"/>
  <printOptions horizontalCentered="1"/>
  <pageMargins left="0.5" right="0.5" top="0.5" bottom="0.5" header="0" footer="0.5"/>
  <pageSetup scale="6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C7"/>
  <sheetViews>
    <sheetView workbookViewId="0">
      <selection activeCell="A8" sqref="A8"/>
    </sheetView>
  </sheetViews>
  <sheetFormatPr defaultRowHeight="15.75"/>
  <cols>
    <col min="1" max="1" width="19.42578125" style="45" bestFit="1" customWidth="1"/>
    <col min="2" max="2" width="13.7109375" style="45" bestFit="1" customWidth="1"/>
    <col min="3" max="3" width="13.5703125" style="45" bestFit="1" customWidth="1"/>
    <col min="4" max="16384" width="9.140625" style="45"/>
  </cols>
  <sheetData>
    <row r="1" spans="1:3" s="15" customFormat="1" ht="31.5">
      <c r="A1" s="23" t="s">
        <v>7</v>
      </c>
      <c r="B1" s="23" t="s">
        <v>8</v>
      </c>
      <c r="C1" s="23" t="s">
        <v>9</v>
      </c>
    </row>
    <row r="2" spans="1:3">
      <c r="A2" s="45" t="s">
        <v>10</v>
      </c>
      <c r="B2" s="45">
        <f>1/'DOE Energy Equivalents'!F13</f>
        <v>3.4121424501230074E-3</v>
      </c>
      <c r="C2" s="45" t="s">
        <v>13</v>
      </c>
    </row>
    <row r="3" spans="1:3">
      <c r="A3" s="45" t="s">
        <v>60</v>
      </c>
      <c r="B3" s="16">
        <f>'DOE Energy Equivalents'!D29*0.0000000001</f>
        <v>0.10250000000000001</v>
      </c>
      <c r="C3" s="45" t="s">
        <v>14</v>
      </c>
    </row>
    <row r="4" spans="1:3">
      <c r="A4" s="45" t="s">
        <v>61</v>
      </c>
      <c r="B4" s="16">
        <f>'DOE Energy Equivalents'!D12*0.000001</f>
        <v>9.9999999999999992E-2</v>
      </c>
      <c r="C4" s="45" t="s">
        <v>63</v>
      </c>
    </row>
    <row r="5" spans="1:3">
      <c r="A5" s="45" t="s">
        <v>62</v>
      </c>
      <c r="B5" s="16">
        <f>B4*10</f>
        <v>0.99999999999999989</v>
      </c>
      <c r="C5" s="45" t="s">
        <v>64</v>
      </c>
    </row>
    <row r="6" spans="1:3">
      <c r="A6" s="45" t="s">
        <v>11</v>
      </c>
      <c r="B6" s="45">
        <f>138874.158/1000000</f>
        <v>0.138874158</v>
      </c>
      <c r="C6" s="45" t="s">
        <v>15</v>
      </c>
    </row>
    <row r="7" spans="1:3">
      <c r="A7" s="45" t="s">
        <v>12</v>
      </c>
      <c r="C7" s="45" t="s">
        <v>13</v>
      </c>
    </row>
  </sheetData>
  <sheetProtection password="CACC" sheet="1" objects="1" scenarios="1" selectLockedCells="1"/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55"/>
  <sheetViews>
    <sheetView workbookViewId="0">
      <selection activeCell="A3" sqref="A3"/>
    </sheetView>
  </sheetViews>
  <sheetFormatPr defaultRowHeight="15.75"/>
  <cols>
    <col min="1" max="1" width="22.140625" style="45" customWidth="1"/>
    <col min="2" max="2" width="13.42578125" style="45" bestFit="1" customWidth="1"/>
    <col min="3" max="3" width="13.140625" style="45" bestFit="1" customWidth="1"/>
    <col min="4" max="5" width="12.28515625" style="45" bestFit="1" customWidth="1"/>
    <col min="6" max="6" width="13.140625" style="45" bestFit="1" customWidth="1"/>
    <col min="7" max="7" width="14.7109375" style="45" bestFit="1" customWidth="1"/>
    <col min="8" max="13" width="9.140625" style="45"/>
    <col min="14" max="14" width="1.85546875" style="45" bestFit="1" customWidth="1"/>
    <col min="15" max="16384" width="9.140625" style="45"/>
  </cols>
  <sheetData>
    <row r="1" spans="1:7" s="5" customFormat="1">
      <c r="A1" s="4" t="s">
        <v>16</v>
      </c>
      <c r="G1" s="5" t="s">
        <v>17</v>
      </c>
    </row>
    <row r="2" spans="1:7" s="5" customFormat="1">
      <c r="A2" s="4"/>
    </row>
    <row r="3" spans="1:7" s="5" customFormat="1">
      <c r="A3" s="4"/>
      <c r="B3" s="4" t="s">
        <v>18</v>
      </c>
      <c r="C3" s="4" t="s">
        <v>19</v>
      </c>
      <c r="D3" s="4"/>
      <c r="E3" s="4"/>
      <c r="F3" s="4"/>
      <c r="G3" s="4"/>
    </row>
    <row r="4" spans="1:7" s="5" customFormat="1">
      <c r="A4" s="4"/>
      <c r="B4" s="4" t="s">
        <v>20</v>
      </c>
      <c r="C4" s="4"/>
      <c r="D4" s="4"/>
      <c r="E4" s="4"/>
      <c r="F4" s="4"/>
      <c r="G4" s="4"/>
    </row>
    <row r="5" spans="1:7" s="5" customFormat="1">
      <c r="A5" s="4" t="s">
        <v>21</v>
      </c>
      <c r="B5" s="4"/>
      <c r="C5" s="6" t="s">
        <v>22</v>
      </c>
      <c r="D5" s="6" t="s">
        <v>23</v>
      </c>
      <c r="E5" s="6" t="s">
        <v>24</v>
      </c>
      <c r="F5" s="6" t="s">
        <v>25</v>
      </c>
      <c r="G5" s="6" t="s">
        <v>26</v>
      </c>
    </row>
    <row r="6" spans="1:7" s="5" customFormat="1">
      <c r="A6" s="4"/>
      <c r="B6" s="4"/>
      <c r="C6" s="6"/>
      <c r="D6" s="6"/>
      <c r="E6" s="6"/>
      <c r="F6" s="6" t="s">
        <v>27</v>
      </c>
      <c r="G6" s="6" t="s">
        <v>28</v>
      </c>
    </row>
    <row r="7" spans="1:7">
      <c r="A7" s="4" t="s">
        <v>22</v>
      </c>
      <c r="B7" s="5">
        <v>1</v>
      </c>
      <c r="C7" s="11">
        <f>+B7*1</f>
        <v>1</v>
      </c>
      <c r="D7" s="8">
        <f>+B7*0.0009478</f>
        <v>9.4780000000000005E-4</v>
      </c>
      <c r="E7" s="12">
        <f>+B7*0.23884</f>
        <v>0.23884</v>
      </c>
      <c r="F7" s="8">
        <f>+B7*0.0000002777</f>
        <v>2.7770000000000001E-7</v>
      </c>
      <c r="G7" s="12">
        <f>+B7*0.10197</f>
        <v>0.10197000000000001</v>
      </c>
    </row>
    <row r="8" spans="1:7">
      <c r="A8" s="4" t="s">
        <v>29</v>
      </c>
      <c r="B8" s="5">
        <v>1</v>
      </c>
      <c r="C8" s="8">
        <f>+B8*1000000000</f>
        <v>1000000000</v>
      </c>
      <c r="D8" s="8">
        <f>+B8*947800</f>
        <v>947800</v>
      </c>
      <c r="E8" s="8">
        <f>+B8*238840000</f>
        <v>238840000</v>
      </c>
      <c r="F8" s="11">
        <f>+B8*277.7</f>
        <v>277.7</v>
      </c>
      <c r="G8" s="8">
        <f>+B8*101970000</f>
        <v>101970000</v>
      </c>
    </row>
    <row r="9" spans="1:7">
      <c r="A9" s="4" t="s">
        <v>30</v>
      </c>
      <c r="B9" s="5">
        <v>1</v>
      </c>
      <c r="C9" s="8">
        <f>+B9*1000000000000</f>
        <v>1000000000000</v>
      </c>
      <c r="D9" s="8">
        <f>+B9*947800000</f>
        <v>947800000</v>
      </c>
      <c r="E9" s="8">
        <f>+B9*238840000000</f>
        <v>238840000000</v>
      </c>
      <c r="F9" s="8">
        <f>+B9*277700</f>
        <v>277700</v>
      </c>
      <c r="G9" s="8">
        <f>+B9*101970000000</f>
        <v>101970000000</v>
      </c>
    </row>
    <row r="10" spans="1:7">
      <c r="A10" s="4"/>
      <c r="B10" s="5"/>
      <c r="C10" s="8"/>
      <c r="D10" s="8"/>
      <c r="E10" s="8"/>
      <c r="F10" s="8"/>
      <c r="G10" s="8"/>
    </row>
    <row r="11" spans="1:7">
      <c r="A11" s="4" t="s">
        <v>23</v>
      </c>
      <c r="B11" s="5">
        <v>1</v>
      </c>
      <c r="C11" s="8">
        <f>+B11*1055.1</f>
        <v>1055.0999999999999</v>
      </c>
      <c r="D11" s="11">
        <f>+B11*1</f>
        <v>1</v>
      </c>
      <c r="E11" s="11">
        <f>+B11*252</f>
        <v>252</v>
      </c>
      <c r="F11" s="8">
        <f>+B11*0.000293071</f>
        <v>2.93071E-4</v>
      </c>
      <c r="G11" s="11">
        <f>+B11*107.6</f>
        <v>107.6</v>
      </c>
    </row>
    <row r="12" spans="1:7">
      <c r="A12" s="4" t="s">
        <v>31</v>
      </c>
      <c r="B12" s="5">
        <v>1</v>
      </c>
      <c r="C12" s="8">
        <f>+B12*105510000</f>
        <v>105510000</v>
      </c>
      <c r="D12" s="8">
        <f>+B12*100000</f>
        <v>100000</v>
      </c>
      <c r="E12" s="8">
        <f>+B12*25200000</f>
        <v>25200000</v>
      </c>
      <c r="F12" s="9">
        <f>+B12*29.3071</f>
        <v>29.307099999999998</v>
      </c>
      <c r="G12" s="8">
        <f>+B12*10760000</f>
        <v>10760000</v>
      </c>
    </row>
    <row r="13" spans="1:7">
      <c r="A13" s="4" t="s">
        <v>32</v>
      </c>
      <c r="B13" s="5">
        <v>1</v>
      </c>
      <c r="C13" s="8">
        <f>+B13*1055100000</f>
        <v>1055100000</v>
      </c>
      <c r="D13" s="8">
        <f>+B13*1000000</f>
        <v>1000000</v>
      </c>
      <c r="E13" s="8">
        <f>+B13*252000000</f>
        <v>252000000</v>
      </c>
      <c r="F13" s="9">
        <f>+B13*293.071</f>
        <v>293.07100000000003</v>
      </c>
      <c r="G13" s="8">
        <f>+B13*107600000</f>
        <v>107600000</v>
      </c>
    </row>
    <row r="14" spans="1:7">
      <c r="A14" s="4" t="s">
        <v>33</v>
      </c>
      <c r="B14" s="5">
        <v>1</v>
      </c>
      <c r="C14" s="8">
        <f>+B14*1055100000000</f>
        <v>1055100000000</v>
      </c>
      <c r="D14" s="8">
        <f>+B14*1000000000</f>
        <v>1000000000</v>
      </c>
      <c r="E14" s="8">
        <f>+B14*252000000000</f>
        <v>252000000000</v>
      </c>
      <c r="F14" s="9">
        <f>+B14*293071</f>
        <v>293071</v>
      </c>
      <c r="G14" s="8">
        <f>+B14*107600000000</f>
        <v>107600000000</v>
      </c>
    </row>
    <row r="15" spans="1:7">
      <c r="A15" s="4" t="s">
        <v>34</v>
      </c>
      <c r="B15" s="5">
        <v>1</v>
      </c>
      <c r="C15" s="8">
        <f>+B15*1055100000000000000</f>
        <v>1.0551E+18</v>
      </c>
      <c r="D15" s="8">
        <f>+B15*1000000000000000</f>
        <v>1000000000000000</v>
      </c>
      <c r="E15" s="8">
        <f>+B15*252000000000000000</f>
        <v>2.52E+17</v>
      </c>
      <c r="F15" s="8">
        <f>+B15*2930710000</f>
        <v>2930710000</v>
      </c>
      <c r="G15" s="8">
        <f>+B15*107600000000000000</f>
        <v>1.076E+17</v>
      </c>
    </row>
    <row r="16" spans="1:7">
      <c r="A16" s="4"/>
      <c r="B16" s="5"/>
      <c r="C16" s="8"/>
      <c r="D16" s="8"/>
      <c r="E16" s="8"/>
      <c r="F16" s="8"/>
      <c r="G16" s="8"/>
    </row>
    <row r="17" spans="1:7">
      <c r="A17" s="4" t="s">
        <v>35</v>
      </c>
      <c r="B17" s="5"/>
      <c r="C17" s="8"/>
      <c r="D17" s="8"/>
      <c r="E17" s="8"/>
      <c r="F17" s="8"/>
      <c r="G17" s="8"/>
    </row>
    <row r="18" spans="1:7">
      <c r="A18" s="4" t="s">
        <v>36</v>
      </c>
      <c r="B18" s="5">
        <v>1</v>
      </c>
      <c r="C18" s="8">
        <f>+B18*12*1055.1*5253000/42</f>
        <v>1583554371.4285712</v>
      </c>
      <c r="D18" s="8">
        <f>+B18*12*5253000/42</f>
        <v>1500857.142857143</v>
      </c>
      <c r="E18" s="8">
        <f>+B18*12*252*5253000/42</f>
        <v>378216000</v>
      </c>
      <c r="F18" s="8">
        <f>+B18*12*0.00000293071*5253000/42</f>
        <v>4.3985770371428572</v>
      </c>
      <c r="G18" s="8">
        <f>+B18*12*107.6*5253000/42</f>
        <v>161492228.57142854</v>
      </c>
    </row>
    <row r="19" spans="1:7">
      <c r="A19" s="4" t="s">
        <v>37</v>
      </c>
      <c r="B19" s="5">
        <v>1</v>
      </c>
      <c r="C19" s="8">
        <f>+B19*1055.1*5253000/42</f>
        <v>131962864.28571427</v>
      </c>
      <c r="D19" s="8">
        <f>+B19*5253000/42</f>
        <v>125071.42857142857</v>
      </c>
      <c r="E19" s="8">
        <f>+B19*252*5253000/42</f>
        <v>31518000</v>
      </c>
      <c r="F19" s="8">
        <f>+B19*0.00000293071*5253000/42</f>
        <v>0.36654808642857145</v>
      </c>
      <c r="G19" s="8">
        <f>+B19*107.6*5253000/42</f>
        <v>13457685.714285715</v>
      </c>
    </row>
    <row r="20" spans="1:7">
      <c r="A20" s="4" t="s">
        <v>38</v>
      </c>
      <c r="B20" s="5">
        <v>1</v>
      </c>
      <c r="C20" s="8">
        <f>+B20*1055.1*5253000</f>
        <v>5542440299.999999</v>
      </c>
      <c r="D20" s="8">
        <f>+B20*5253000</f>
        <v>5253000</v>
      </c>
      <c r="E20" s="8">
        <f>+B20*252*5253000</f>
        <v>1323756000</v>
      </c>
      <c r="F20" s="8">
        <f>+B20*0.00000293071*5253000</f>
        <v>15.39501963</v>
      </c>
      <c r="G20" s="8">
        <f>+B20*107.6*5253000</f>
        <v>565222800</v>
      </c>
    </row>
    <row r="21" spans="1:7">
      <c r="A21" s="4"/>
      <c r="B21" s="5"/>
      <c r="C21" s="5"/>
      <c r="D21" s="8"/>
      <c r="E21" s="8"/>
      <c r="F21" s="8"/>
      <c r="G21" s="8"/>
    </row>
    <row r="22" spans="1:7">
      <c r="A22" s="4" t="s">
        <v>39</v>
      </c>
      <c r="B22" s="5"/>
      <c r="C22" s="5"/>
      <c r="D22" s="8"/>
      <c r="E22" s="8"/>
      <c r="F22" s="8"/>
      <c r="G22" s="8"/>
    </row>
    <row r="23" spans="1:7">
      <c r="A23" s="4" t="s">
        <v>38</v>
      </c>
      <c r="B23" s="5">
        <v>1</v>
      </c>
      <c r="C23" s="8">
        <f>+B23*1055.1*5800000</f>
        <v>6119579999.999999</v>
      </c>
      <c r="D23" s="8">
        <f>+B23*5800000</f>
        <v>5800000</v>
      </c>
      <c r="E23" s="8">
        <f>+B23*252*5800000</f>
        <v>1461600000</v>
      </c>
      <c r="F23" s="8">
        <f>+B23*0.00000293071*5800000</f>
        <v>16.998118000000002</v>
      </c>
      <c r="G23" s="8">
        <f>+B23*107.6*5800000</f>
        <v>624080000</v>
      </c>
    </row>
    <row r="24" spans="1:7">
      <c r="A24" s="4"/>
      <c r="B24" s="5"/>
      <c r="C24" s="8"/>
      <c r="D24" s="8"/>
      <c r="E24" s="8"/>
      <c r="F24" s="8"/>
      <c r="G24" s="8"/>
    </row>
    <row r="25" spans="1:7">
      <c r="A25" s="4" t="s">
        <v>40</v>
      </c>
      <c r="B25" s="5"/>
      <c r="C25" s="8"/>
      <c r="D25" s="8"/>
      <c r="E25" s="8"/>
      <c r="F25" s="8"/>
      <c r="G25" s="8"/>
    </row>
    <row r="26" spans="1:7">
      <c r="A26" s="4" t="s">
        <v>41</v>
      </c>
      <c r="B26" s="5">
        <v>1</v>
      </c>
      <c r="C26" s="8">
        <f>+B26*1055.1*20753000</f>
        <v>21896490300</v>
      </c>
      <c r="D26" s="8">
        <f>B26*20753000</f>
        <v>20753000</v>
      </c>
      <c r="E26" s="8">
        <f>+B26*252*20753000</f>
        <v>5229756000</v>
      </c>
      <c r="F26" s="8">
        <f>+B26*0.00000293071*20753000</f>
        <v>60.821024630000004</v>
      </c>
      <c r="G26" s="8">
        <f>+B26*107.6*20753000</f>
        <v>2233022800</v>
      </c>
    </row>
    <row r="27" spans="1:7">
      <c r="A27" s="4"/>
      <c r="B27" s="5"/>
      <c r="C27" s="8"/>
      <c r="D27" s="8"/>
      <c r="E27" s="8"/>
      <c r="F27" s="8"/>
      <c r="G27" s="8"/>
    </row>
    <row r="28" spans="1:7">
      <c r="A28" s="4" t="s">
        <v>42</v>
      </c>
      <c r="B28" s="5"/>
      <c r="C28" s="8"/>
      <c r="D28" s="8"/>
      <c r="E28" s="8"/>
      <c r="F28" s="8"/>
      <c r="G28" s="8"/>
    </row>
    <row r="29" spans="1:7">
      <c r="A29" s="4" t="s">
        <v>43</v>
      </c>
      <c r="B29" s="5">
        <v>1</v>
      </c>
      <c r="C29" s="8">
        <f>+B29*1055.1*1025000000</f>
        <v>1081477499999.9999</v>
      </c>
      <c r="D29" s="8">
        <f>B29*1025000000</f>
        <v>1025000000</v>
      </c>
      <c r="E29" s="8">
        <f>+B29*252*1025000000</f>
        <v>258300000000</v>
      </c>
      <c r="F29" s="8">
        <f>+B29*0.00000293071*1025000000</f>
        <v>3003.97775</v>
      </c>
      <c r="G29" s="8">
        <f>+B29*107.6*1025000000</f>
        <v>110290000000</v>
      </c>
    </row>
    <row r="30" spans="1:7">
      <c r="A30" s="4"/>
      <c r="B30" s="5"/>
      <c r="C30" s="8"/>
      <c r="D30" s="8"/>
      <c r="E30" s="8"/>
      <c r="F30" s="8"/>
      <c r="G30" s="8"/>
    </row>
    <row r="31" spans="1:7">
      <c r="A31" s="4" t="s">
        <v>24</v>
      </c>
      <c r="B31" s="5">
        <v>1</v>
      </c>
      <c r="C31" s="9">
        <f>+B31*4.1868</f>
        <v>4.1867999999999999</v>
      </c>
      <c r="D31" s="8">
        <f>+B31*0.003968</f>
        <v>3.9680000000000002E-3</v>
      </c>
      <c r="E31" s="11">
        <f>+B31*1</f>
        <v>1</v>
      </c>
      <c r="F31" s="8">
        <f>+B31*0.000001163</f>
        <v>1.1629999999999999E-6</v>
      </c>
      <c r="G31" s="9">
        <f>+B31*0.4269</f>
        <v>0.4269</v>
      </c>
    </row>
    <row r="32" spans="1:7">
      <c r="A32" s="4" t="s">
        <v>44</v>
      </c>
      <c r="B32" s="5">
        <v>1</v>
      </c>
      <c r="C32" s="8">
        <f>+B32*4186.8</f>
        <v>4186.8</v>
      </c>
      <c r="D32" s="9">
        <f>+B32*3.968</f>
        <v>3.968</v>
      </c>
      <c r="E32" s="8">
        <f>+B32*1000</f>
        <v>1000</v>
      </c>
      <c r="F32" s="8">
        <f>+B32*0.001163</f>
        <v>1.163E-3</v>
      </c>
      <c r="G32" s="11">
        <f>+B32*426.9</f>
        <v>426.9</v>
      </c>
    </row>
    <row r="33" spans="1:7">
      <c r="A33" s="4" t="s">
        <v>45</v>
      </c>
      <c r="B33" s="5">
        <v>1</v>
      </c>
      <c r="C33" s="8">
        <f>+B33*4186800</f>
        <v>4186800</v>
      </c>
      <c r="D33" s="8">
        <f>+B33*3968</f>
        <v>3968</v>
      </c>
      <c r="E33" s="8">
        <f>+B33*1000000</f>
        <v>1000000</v>
      </c>
      <c r="F33" s="9">
        <f>+B33*1.163</f>
        <v>1.163</v>
      </c>
      <c r="G33" s="8">
        <f>+B33*426900</f>
        <v>426900</v>
      </c>
    </row>
    <row r="34" spans="1:7">
      <c r="A34" s="4" t="s">
        <v>46</v>
      </c>
      <c r="B34" s="5">
        <v>1</v>
      </c>
      <c r="C34" s="8">
        <f>+B34*4186800000000</f>
        <v>4186800000000</v>
      </c>
      <c r="D34" s="8">
        <f>+B34*3968000000</f>
        <v>3968000000</v>
      </c>
      <c r="E34" s="8">
        <f>+B34*1000000000000</f>
        <v>1000000000000</v>
      </c>
      <c r="F34" s="8">
        <f>+B34*1163000</f>
        <v>1163000</v>
      </c>
      <c r="G34" s="8">
        <f>+B34*426900000000</f>
        <v>426900000000</v>
      </c>
    </row>
    <row r="35" spans="1:7">
      <c r="A35" s="4"/>
      <c r="B35" s="5"/>
      <c r="C35" s="8"/>
      <c r="D35" s="8"/>
      <c r="E35" s="8"/>
      <c r="F35" s="8"/>
      <c r="G35" s="8"/>
    </row>
    <row r="36" spans="1:7">
      <c r="A36" s="4" t="s">
        <v>47</v>
      </c>
      <c r="B36" s="5"/>
      <c r="C36" s="8"/>
      <c r="D36" s="8"/>
      <c r="E36" s="8"/>
      <c r="F36" s="8"/>
      <c r="G36" s="8"/>
    </row>
    <row r="37" spans="1:7">
      <c r="A37" s="4" t="s">
        <v>48</v>
      </c>
      <c r="B37" s="5">
        <v>1</v>
      </c>
      <c r="C37" s="8">
        <f>+B37*3600000</f>
        <v>3600000</v>
      </c>
      <c r="D37" s="11">
        <f>+B37*3412</f>
        <v>3412</v>
      </c>
      <c r="E37" s="8">
        <f>+B37*860000</f>
        <v>860000</v>
      </c>
      <c r="F37" s="11">
        <f>+B37*1</f>
        <v>1</v>
      </c>
      <c r="G37" s="8">
        <f>+B37*367100</f>
        <v>367100</v>
      </c>
    </row>
    <row r="38" spans="1:7">
      <c r="A38" s="4" t="s">
        <v>49</v>
      </c>
      <c r="B38" s="5">
        <v>1</v>
      </c>
      <c r="C38" s="8">
        <f>+B38*3600000000</f>
        <v>3600000000</v>
      </c>
      <c r="D38" s="8">
        <f>+B38*3412000</f>
        <v>3412000</v>
      </c>
      <c r="E38" s="8">
        <f>+B38*860000000</f>
        <v>860000000</v>
      </c>
      <c r="F38" s="8">
        <f>+B38*1000</f>
        <v>1000</v>
      </c>
      <c r="G38" s="8">
        <f>+B38*367100000</f>
        <v>367100000</v>
      </c>
    </row>
    <row r="39" spans="1:7">
      <c r="A39" s="4" t="s">
        <v>50</v>
      </c>
      <c r="B39" s="5">
        <v>1</v>
      </c>
      <c r="C39" s="8">
        <f>+B39*3600000000000</f>
        <v>3600000000000</v>
      </c>
      <c r="D39" s="8">
        <f>+B39*3412000000</f>
        <v>3412000000</v>
      </c>
      <c r="E39" s="8">
        <f>+B39*860000000000</f>
        <v>860000000000</v>
      </c>
      <c r="F39" s="8">
        <f>+B39*1000000</f>
        <v>1000000</v>
      </c>
      <c r="G39" s="8">
        <f>+B39*367100000000</f>
        <v>367100000000</v>
      </c>
    </row>
    <row r="40" spans="1:7">
      <c r="A40" s="4" t="s">
        <v>51</v>
      </c>
      <c r="B40" s="5">
        <v>1</v>
      </c>
      <c r="C40" s="8">
        <f>+B40*3600000000000000</f>
        <v>3600000000000000</v>
      </c>
      <c r="D40" s="8">
        <f>+B40*3412000000000</f>
        <v>3412000000000</v>
      </c>
      <c r="E40" s="8">
        <f>+B40*860000000000000</f>
        <v>860000000000000</v>
      </c>
      <c r="F40" s="8">
        <f>+B40*1000000000</f>
        <v>1000000000</v>
      </c>
      <c r="G40" s="8">
        <f>+B40*367100000000000</f>
        <v>367100000000000</v>
      </c>
    </row>
    <row r="41" spans="1:7">
      <c r="A41" s="4"/>
      <c r="B41" s="5"/>
      <c r="C41" s="8"/>
      <c r="D41" s="8"/>
      <c r="E41" s="8"/>
      <c r="F41" s="8"/>
      <c r="G41" s="8"/>
    </row>
    <row r="42" spans="1:7">
      <c r="A42" s="4" t="s">
        <v>52</v>
      </c>
      <c r="B42" s="5">
        <v>1</v>
      </c>
      <c r="C42" s="9">
        <f>+B42*1.3558</f>
        <v>1.3557999999999999</v>
      </c>
      <c r="D42" s="8">
        <f>+B42*0.001285</f>
        <v>1.2849999999999999E-3</v>
      </c>
      <c r="E42" s="9">
        <f>+B42*0.3238</f>
        <v>0.32379999999999998</v>
      </c>
      <c r="F42" s="8">
        <f>+B42*0.0000003766</f>
        <v>3.7660000000000002E-7</v>
      </c>
      <c r="G42" s="12">
        <f>+B42*0.13825</f>
        <v>0.13825000000000001</v>
      </c>
    </row>
    <row r="43" spans="1:7">
      <c r="A43" s="4"/>
      <c r="B43" s="5"/>
      <c r="C43" s="9"/>
      <c r="D43" s="8"/>
      <c r="E43" s="9"/>
      <c r="F43" s="8"/>
      <c r="G43" s="12"/>
    </row>
    <row r="44" spans="1:7">
      <c r="A44" s="4" t="s">
        <v>53</v>
      </c>
      <c r="B44" s="5">
        <v>1</v>
      </c>
      <c r="C44" s="9">
        <f>+B44*9.807</f>
        <v>9.8070000000000004</v>
      </c>
      <c r="D44" s="8">
        <f>+B44*0.009295</f>
        <v>9.2949999999999994E-3</v>
      </c>
      <c r="E44" s="9">
        <f>+B44*2.342</f>
        <v>2.3420000000000001</v>
      </c>
      <c r="F44" s="8">
        <f>+B44*0.000002724</f>
        <v>2.7240000000000001E-6</v>
      </c>
      <c r="G44" s="9">
        <f>+B44*1</f>
        <v>1</v>
      </c>
    </row>
    <row r="45" spans="1:7">
      <c r="A45" s="4" t="s">
        <v>54</v>
      </c>
      <c r="B45" s="5">
        <v>1</v>
      </c>
      <c r="C45" s="8">
        <f>+B45*2684500</f>
        <v>2684500</v>
      </c>
      <c r="D45" s="9">
        <f>+B45*2544.43</f>
        <v>2544.4299999999998</v>
      </c>
      <c r="E45" s="8">
        <f>+B45*641200</f>
        <v>641200</v>
      </c>
      <c r="F45" s="9">
        <f>+B45*0.7457</f>
        <v>0.74570000000000003</v>
      </c>
      <c r="G45" s="8">
        <f>+B45*273700</f>
        <v>273700</v>
      </c>
    </row>
    <row r="46" spans="1:7">
      <c r="A46" s="4" t="s">
        <v>55</v>
      </c>
      <c r="B46" s="5">
        <v>1</v>
      </c>
      <c r="C46" s="8">
        <f>+B46*26478</f>
        <v>26478</v>
      </c>
      <c r="D46" s="9">
        <f>+B46*2509.62</f>
        <v>2509.62</v>
      </c>
      <c r="E46" s="8">
        <f>+B46*632400</f>
        <v>632400</v>
      </c>
      <c r="F46" s="9">
        <f>+B46*0.7355</f>
        <v>0.73550000000000004</v>
      </c>
      <c r="G46" s="8">
        <f>+B46*270000</f>
        <v>270000</v>
      </c>
    </row>
    <row r="47" spans="1:7">
      <c r="A47" s="2"/>
      <c r="B47" s="7"/>
      <c r="C47" s="13"/>
      <c r="D47" s="14"/>
      <c r="E47" s="13"/>
      <c r="F47" s="14"/>
      <c r="G47" s="13"/>
    </row>
    <row r="48" spans="1:7" s="5" customFormat="1">
      <c r="A48" s="5" t="s">
        <v>56</v>
      </c>
      <c r="B48" s="7"/>
      <c r="C48" s="8"/>
      <c r="D48" s="9"/>
      <c r="E48" s="8"/>
      <c r="F48" s="9"/>
      <c r="G48" s="8"/>
    </row>
    <row r="49" spans="1:7" s="5" customFormat="1">
      <c r="A49" s="5" t="s">
        <v>57</v>
      </c>
      <c r="B49" s="7"/>
      <c r="C49" s="8"/>
      <c r="D49" s="9"/>
      <c r="E49" s="8"/>
      <c r="F49" s="9"/>
      <c r="G49" s="8"/>
    </row>
    <row r="50" spans="1:7" s="5" customFormat="1">
      <c r="A50" s="5" t="s">
        <v>58</v>
      </c>
    </row>
    <row r="51" spans="1:7" s="5" customFormat="1">
      <c r="A51" s="5" t="s">
        <v>59</v>
      </c>
    </row>
    <row r="52" spans="1:7" s="5" customFormat="1">
      <c r="A52" s="5" t="s">
        <v>86</v>
      </c>
    </row>
    <row r="53" spans="1:7" s="10" customFormat="1">
      <c r="A53" s="5" t="s">
        <v>87</v>
      </c>
    </row>
    <row r="55" spans="1:7">
      <c r="A55" s="24"/>
    </row>
  </sheetData>
  <sheetProtection password="CACC" sheet="1" objects="1" scenarios="1" selectLockedCells="1"/>
  <phoneticPr fontId="0" type="noConversion"/>
  <printOptions gridLines="1"/>
  <pageMargins left="0.75" right="0.75" top="1" bottom="1" header="0.5" footer="0.5"/>
  <pageSetup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 Report Master</vt:lpstr>
      <vt:lpstr>Conversion Factors</vt:lpstr>
      <vt:lpstr>DOE Energy Equivalents</vt:lpstr>
      <vt:lpstr>'IN Report Master'!Print_Area</vt:lpstr>
    </vt:vector>
  </TitlesOfParts>
  <Company>Cinergy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Duff</dc:creator>
  <cp:lastModifiedBy>sbundy</cp:lastModifiedBy>
  <cp:lastPrinted>2016-07-14T17:57:51Z</cp:lastPrinted>
  <dcterms:created xsi:type="dcterms:W3CDTF">2002-11-22T22:27:52Z</dcterms:created>
  <dcterms:modified xsi:type="dcterms:W3CDTF">2016-07-14T17:59:55Z</dcterms:modified>
</cp:coreProperties>
</file>